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Clients\Gov Ont\Valuation Allowance\OTPP\Work Performed\"/>
    </mc:Choice>
  </mc:AlternateContent>
  <bookViews>
    <workbookView xWindow="-15" yWindow="-15" windowWidth="20520" windowHeight="3885"/>
  </bookViews>
  <sheets>
    <sheet name="Valuation Allowance" sheetId="36" r:id="rId1"/>
    <sheet name="liability" sheetId="8" r:id="rId2"/>
    <sheet name="expense" sheetId="10" r:id="rId3"/>
    <sheet name="Data Input" sheetId="1" r:id="rId4"/>
    <sheet name="Interest" sheetId="2" r:id="rId5"/>
    <sheet name="experience g(l)" sheetId="3" r:id="rId6"/>
    <sheet name="amendment" sheetId="4" r:id="rId7"/>
    <sheet name="year end" sheetId="9" r:id="rId8"/>
    <sheet name="CPI Special Payments" sheetId="19" r:id="rId9"/>
    <sheet name="contributions" sheetId="6" r:id="rId10"/>
    <sheet name="initial ufl" sheetId="5" r:id="rId11"/>
    <sheet name="RCA data" sheetId="11" r:id="rId12"/>
    <sheet name="RCA interest" sheetId="12" r:id="rId13"/>
    <sheet name="RCA exp g(l)" sheetId="13" r:id="rId14"/>
    <sheet name="RCA amend" sheetId="14" r:id="rId15"/>
    <sheet name="RCA exp" sheetId="15" r:id="rId16"/>
    <sheet name="RCA liab" sheetId="16" r:id="rId17"/>
    <sheet name="Summary" sheetId="17" r:id="rId18"/>
    <sheet name="OTTP PA Variance" sheetId="18" state="hidden" r:id="rId19"/>
    <sheet name="Smoothing" sheetId="23" r:id="rId20"/>
    <sheet name="Gain avai. for smoothing 2015" sheetId="24" r:id="rId21"/>
  </sheets>
  <externalReferences>
    <externalReference r:id="rId22"/>
  </externalReferences>
  <definedNames>
    <definedName name="_xlnm.Print_Titles" localSheetId="5">'experience g(l)'!$1:$5</definedName>
    <definedName name="_xlnm.Print_Area" localSheetId="9">contributions!$A$1:$AU$52</definedName>
    <definedName name="_xlnm.Print_Area" localSheetId="8">'CPI Special Payments'!$A$1:$P$13</definedName>
    <definedName name="_xlnm.Print_Area" localSheetId="3">'Data Input'!$A$1:$AG$48</definedName>
    <definedName name="_xlnm.Print_Area" localSheetId="2">expense!$A$1:$AF$36</definedName>
    <definedName name="_xlnm.Print_Area" localSheetId="5">'experience g(l)'!$A$1:$AE$104</definedName>
    <definedName name="_xlnm.Print_Area" localSheetId="4">Interest!$A$1:$AF$29</definedName>
    <definedName name="_xlnm.Print_Area" localSheetId="1">liability!$A$1:$AF$43</definedName>
    <definedName name="_xlnm.Print_Area" localSheetId="11">'RCA data'!$A$1:$AB$34</definedName>
    <definedName name="_xlnm.Print_Area" localSheetId="15">'RCA exp'!$A$1:$Z$35</definedName>
    <definedName name="_xlnm.Print_Area" localSheetId="12">'RCA interest'!$A$1:$Z$14</definedName>
    <definedName name="_xlnm.Print_Area" localSheetId="16">'RCA liab'!$A$1:$AA$28</definedName>
    <definedName name="_xlnm.Print_Area" localSheetId="19">Smoothing!$A$1:$Z$39</definedName>
    <definedName name="_xlnm.Print_Area" localSheetId="17">Summary!$A$1:$AF$54</definedName>
    <definedName name="_xlnm.Print_Area" localSheetId="7">'year end'!$A$1:$AG$32</definedName>
  </definedNames>
  <calcPr calcId="152511" calcOnSave="0"/>
</workbook>
</file>

<file path=xl/calcChain.xml><?xml version="1.0" encoding="utf-8"?>
<calcChain xmlns="http://schemas.openxmlformats.org/spreadsheetml/2006/main">
  <c r="V34" i="36" l="1"/>
  <c r="W34" i="36"/>
  <c r="X34" i="36"/>
  <c r="Y34" i="36"/>
  <c r="Z34" i="36"/>
  <c r="AA34" i="36"/>
  <c r="AB34" i="36"/>
  <c r="R34" i="36"/>
  <c r="S34" i="36"/>
  <c r="T34" i="36"/>
  <c r="U34" i="36"/>
  <c r="P34" i="36"/>
  <c r="Q34" i="36"/>
  <c r="M34" i="36"/>
  <c r="N34" i="36"/>
  <c r="O34" i="36"/>
  <c r="H34" i="36"/>
  <c r="I34" i="36"/>
  <c r="J34" i="36"/>
  <c r="K34" i="36"/>
  <c r="L34" i="36"/>
  <c r="G34" i="36"/>
  <c r="H32" i="36"/>
  <c r="I32" i="36"/>
  <c r="J32" i="36"/>
  <c r="K32" i="36"/>
  <c r="L32" i="36"/>
  <c r="M32" i="36"/>
  <c r="N32" i="36"/>
  <c r="O32" i="36"/>
  <c r="P32" i="36"/>
  <c r="Q32" i="36"/>
  <c r="R32" i="36"/>
  <c r="S32" i="36"/>
  <c r="T32" i="36"/>
  <c r="U32" i="36"/>
  <c r="V32" i="36"/>
  <c r="W32" i="36"/>
  <c r="X32" i="36"/>
  <c r="Y32" i="36"/>
  <c r="Z32" i="36"/>
  <c r="AA32" i="36"/>
  <c r="AB32" i="36"/>
  <c r="AC32" i="36"/>
  <c r="AD32" i="36"/>
  <c r="AE32" i="36"/>
  <c r="AF32" i="36"/>
  <c r="G32" i="36"/>
  <c r="G33" i="36"/>
  <c r="H33" i="36"/>
  <c r="I33" i="36"/>
  <c r="J33" i="36"/>
  <c r="K33" i="36"/>
  <c r="L33" i="36"/>
  <c r="M33" i="36"/>
  <c r="N33" i="36"/>
  <c r="O33" i="36"/>
  <c r="P33" i="36"/>
  <c r="Q33" i="36"/>
  <c r="R33" i="36"/>
  <c r="S33" i="36"/>
  <c r="T33" i="36"/>
  <c r="U33" i="36"/>
  <c r="V33" i="36"/>
  <c r="W33" i="36"/>
  <c r="X33" i="36"/>
  <c r="Y33" i="36"/>
  <c r="Z33" i="36"/>
  <c r="AA33" i="36"/>
  <c r="AB33" i="36"/>
  <c r="AC33" i="36"/>
  <c r="AD33" i="36"/>
  <c r="AE33" i="36"/>
  <c r="AF33" i="36"/>
  <c r="H31" i="36"/>
  <c r="I31" i="36"/>
  <c r="J31" i="36"/>
  <c r="K31" i="36"/>
  <c r="L31" i="36"/>
  <c r="M31" i="36"/>
  <c r="N31" i="36"/>
  <c r="O31" i="36"/>
  <c r="P31" i="36"/>
  <c r="Q31" i="36"/>
  <c r="R31" i="36"/>
  <c r="S31" i="36"/>
  <c r="T31" i="36"/>
  <c r="U31" i="36"/>
  <c r="V31" i="36"/>
  <c r="W31" i="36"/>
  <c r="X31" i="36"/>
  <c r="Y31" i="36"/>
  <c r="Z31" i="36"/>
  <c r="AA31" i="36"/>
  <c r="AB31" i="36"/>
  <c r="G31" i="36"/>
  <c r="H30" i="36"/>
  <c r="I30" i="36"/>
  <c r="J30" i="36"/>
  <c r="K30" i="36"/>
  <c r="L30" i="36"/>
  <c r="M30" i="36"/>
  <c r="N30" i="36"/>
  <c r="O30" i="36"/>
  <c r="P30" i="36"/>
  <c r="Q30" i="36"/>
  <c r="R30" i="36"/>
  <c r="S30" i="36"/>
  <c r="T30" i="36"/>
  <c r="U30" i="36"/>
  <c r="V30" i="36"/>
  <c r="W30" i="36"/>
  <c r="X30" i="36"/>
  <c r="Y30" i="36"/>
  <c r="Z30" i="36"/>
  <c r="AA30" i="36"/>
  <c r="AB30" i="36"/>
  <c r="AC30" i="36"/>
  <c r="AD30" i="36"/>
  <c r="AE30" i="36"/>
  <c r="AF30" i="36"/>
  <c r="G30" i="36"/>
  <c r="H29" i="36"/>
  <c r="I29" i="36"/>
  <c r="J29" i="36"/>
  <c r="K29" i="36"/>
  <c r="L29" i="36"/>
  <c r="M29" i="36"/>
  <c r="N29" i="36"/>
  <c r="O29" i="36"/>
  <c r="P29" i="36"/>
  <c r="Q29" i="36"/>
  <c r="R29" i="36"/>
  <c r="S29" i="36"/>
  <c r="T29" i="36"/>
  <c r="U29" i="36"/>
  <c r="V29" i="36"/>
  <c r="W29" i="36"/>
  <c r="X29" i="36"/>
  <c r="Y29" i="36"/>
  <c r="Z29" i="36"/>
  <c r="AA29" i="36"/>
  <c r="AB29" i="36"/>
  <c r="G29" i="36"/>
  <c r="E17" i="18" l="1"/>
  <c r="F18" i="8"/>
  <c r="E18" i="8"/>
  <c r="D18" i="8"/>
  <c r="C18" i="8"/>
  <c r="D17" i="36"/>
  <c r="D21" i="36" s="1"/>
  <c r="E17" i="36"/>
  <c r="E21" i="36" s="1"/>
  <c r="F17" i="36"/>
  <c r="F21" i="36" s="1"/>
  <c r="C17" i="36"/>
  <c r="C21" i="36" s="1"/>
  <c r="D16" i="36"/>
  <c r="D20" i="36" s="1"/>
  <c r="E16" i="36"/>
  <c r="E20" i="36" s="1"/>
  <c r="F16" i="36"/>
  <c r="G16" i="36"/>
  <c r="G20" i="36" s="1"/>
  <c r="H16" i="36"/>
  <c r="H20" i="36" s="1"/>
  <c r="I16" i="36"/>
  <c r="I20" i="36" s="1"/>
  <c r="J16" i="36"/>
  <c r="J20" i="36" s="1"/>
  <c r="K16" i="36"/>
  <c r="K20" i="36" s="1"/>
  <c r="L16" i="36"/>
  <c r="L20" i="36" s="1"/>
  <c r="M16" i="36"/>
  <c r="M20" i="36" s="1"/>
  <c r="N16" i="36"/>
  <c r="N20" i="36" s="1"/>
  <c r="O16" i="36"/>
  <c r="O20" i="36" s="1"/>
  <c r="P16" i="36"/>
  <c r="P20" i="36" s="1"/>
  <c r="Q16" i="36"/>
  <c r="Q20" i="36" s="1"/>
  <c r="R16" i="36"/>
  <c r="S16" i="36"/>
  <c r="S20" i="36" s="1"/>
  <c r="T16" i="36"/>
  <c r="T20" i="36" s="1"/>
  <c r="U16" i="36"/>
  <c r="U20" i="36" s="1"/>
  <c r="V16" i="36"/>
  <c r="W16" i="36"/>
  <c r="W20" i="36" s="1"/>
  <c r="X16" i="36"/>
  <c r="X20" i="36" s="1"/>
  <c r="Y16" i="36"/>
  <c r="Y20" i="36" s="1"/>
  <c r="Z16" i="36"/>
  <c r="Z20" i="36" s="1"/>
  <c r="AA16" i="36"/>
  <c r="AA20" i="36" s="1"/>
  <c r="AB16" i="36"/>
  <c r="AB20" i="36" s="1"/>
  <c r="AC16" i="36"/>
  <c r="AC20" i="36" s="1"/>
  <c r="AD16" i="36"/>
  <c r="AD20" i="36" s="1"/>
  <c r="AE16" i="36"/>
  <c r="AE20" i="36" s="1"/>
  <c r="AF16" i="36"/>
  <c r="AF20" i="36" s="1"/>
  <c r="C16" i="36"/>
  <c r="C20" i="36" s="1"/>
  <c r="AF7" i="36"/>
  <c r="AE7" i="36"/>
  <c r="AD7" i="36"/>
  <c r="AD11" i="36" s="1"/>
  <c r="AC7" i="36"/>
  <c r="AC11" i="36" s="1"/>
  <c r="AB7" i="36"/>
  <c r="AA7" i="36"/>
  <c r="Z7" i="36"/>
  <c r="Z11" i="36" s="1"/>
  <c r="Y7" i="36"/>
  <c r="Y11" i="36" s="1"/>
  <c r="X7" i="36"/>
  <c r="W7" i="36"/>
  <c r="V7" i="36"/>
  <c r="V11" i="36" s="1"/>
  <c r="U7" i="36"/>
  <c r="U11" i="36" s="1"/>
  <c r="T7" i="36"/>
  <c r="S7" i="36"/>
  <c r="R7" i="36"/>
  <c r="R11" i="36" s="1"/>
  <c r="Q7" i="36"/>
  <c r="Q11" i="36" s="1"/>
  <c r="P7" i="36"/>
  <c r="O7" i="36"/>
  <c r="N7" i="36"/>
  <c r="N11" i="36" s="1"/>
  <c r="M7" i="36"/>
  <c r="M11" i="36" s="1"/>
  <c r="L7" i="36"/>
  <c r="K7" i="36"/>
  <c r="J7" i="36"/>
  <c r="J11" i="36" s="1"/>
  <c r="I7" i="36"/>
  <c r="I11" i="36" s="1"/>
  <c r="H7" i="36"/>
  <c r="G7" i="36"/>
  <c r="F7" i="36"/>
  <c r="F11" i="36" s="1"/>
  <c r="E7" i="36"/>
  <c r="E11" i="36" s="1"/>
  <c r="D7" i="36"/>
  <c r="C7" i="36"/>
  <c r="D8" i="36"/>
  <c r="D12" i="36" s="1"/>
  <c r="E8" i="36"/>
  <c r="E12" i="36" s="1"/>
  <c r="F8" i="36"/>
  <c r="G8" i="36"/>
  <c r="G12" i="36" s="1"/>
  <c r="H8" i="36"/>
  <c r="H12" i="36" s="1"/>
  <c r="I8" i="36"/>
  <c r="I12" i="36" s="1"/>
  <c r="J8" i="36"/>
  <c r="K8" i="36"/>
  <c r="K12" i="36" s="1"/>
  <c r="L8" i="36"/>
  <c r="L12" i="36" s="1"/>
  <c r="M8" i="36"/>
  <c r="M12" i="36" s="1"/>
  <c r="N8" i="36"/>
  <c r="O8" i="36"/>
  <c r="O12" i="36" s="1"/>
  <c r="P8" i="36"/>
  <c r="P12" i="36" s="1"/>
  <c r="Q8" i="36"/>
  <c r="Q12" i="36" s="1"/>
  <c r="R8" i="36"/>
  <c r="S8" i="36"/>
  <c r="S12" i="36" s="1"/>
  <c r="T8" i="36"/>
  <c r="T12" i="36" s="1"/>
  <c r="U8" i="36"/>
  <c r="U12" i="36" s="1"/>
  <c r="V8" i="36"/>
  <c r="W8" i="36"/>
  <c r="W12" i="36" s="1"/>
  <c r="X8" i="36"/>
  <c r="X12" i="36" s="1"/>
  <c r="Y8" i="36"/>
  <c r="Y12" i="36" s="1"/>
  <c r="Z8" i="36"/>
  <c r="AA8" i="36"/>
  <c r="AA12" i="36" s="1"/>
  <c r="AB8" i="36"/>
  <c r="AB12" i="36" s="1"/>
  <c r="AC8" i="36"/>
  <c r="AC12" i="36" s="1"/>
  <c r="AD8" i="36"/>
  <c r="AE8" i="36"/>
  <c r="AE12" i="36" s="1"/>
  <c r="AF8" i="36"/>
  <c r="AF12" i="36" s="1"/>
  <c r="C8" i="36"/>
  <c r="C12" i="36" s="1"/>
  <c r="A43" i="36"/>
  <c r="AG51" i="36"/>
  <c r="H28" i="1"/>
  <c r="G17" i="36" s="1"/>
  <c r="G21" i="36" s="1"/>
  <c r="G26" i="36" l="1"/>
  <c r="C22" i="36"/>
  <c r="E22" i="36"/>
  <c r="AD9" i="36"/>
  <c r="Z9" i="36"/>
  <c r="V9" i="36"/>
  <c r="R9" i="36"/>
  <c r="N9" i="36"/>
  <c r="J9" i="36"/>
  <c r="F9" i="36"/>
  <c r="D9" i="36"/>
  <c r="H9" i="36"/>
  <c r="L9" i="36"/>
  <c r="P9" i="36"/>
  <c r="T9" i="36"/>
  <c r="X9" i="36"/>
  <c r="AB9" i="36"/>
  <c r="AF9" i="36"/>
  <c r="D22" i="36"/>
  <c r="G22" i="36"/>
  <c r="F18" i="36"/>
  <c r="E18" i="36"/>
  <c r="F20" i="36"/>
  <c r="F22" i="36" s="1"/>
  <c r="C18" i="36"/>
  <c r="R20" i="36"/>
  <c r="V20" i="36"/>
  <c r="E13" i="36"/>
  <c r="I13" i="36"/>
  <c r="M13" i="36"/>
  <c r="Q13" i="36"/>
  <c r="U13" i="36"/>
  <c r="Y13" i="36"/>
  <c r="AC13" i="36"/>
  <c r="D18" i="36"/>
  <c r="G18" i="36"/>
  <c r="T11" i="36"/>
  <c r="T13" i="36" s="1"/>
  <c r="H11" i="36"/>
  <c r="H13" i="36" s="1"/>
  <c r="C9" i="36"/>
  <c r="G9" i="36"/>
  <c r="K9" i="36"/>
  <c r="O9" i="36"/>
  <c r="S9" i="36"/>
  <c r="W9" i="36"/>
  <c r="AA9" i="36"/>
  <c r="AE9" i="36"/>
  <c r="AB11" i="36"/>
  <c r="AB13" i="36" s="1"/>
  <c r="L11" i="36"/>
  <c r="L13" i="36" s="1"/>
  <c r="E9" i="36"/>
  <c r="I9" i="36"/>
  <c r="M9" i="36"/>
  <c r="Q9" i="36"/>
  <c r="U9" i="36"/>
  <c r="Y9" i="36"/>
  <c r="AC9" i="36"/>
  <c r="C11" i="36"/>
  <c r="C13" i="36" s="1"/>
  <c r="AD12" i="36"/>
  <c r="Z12" i="36"/>
  <c r="V12" i="36"/>
  <c r="R12" i="36"/>
  <c r="N12" i="36"/>
  <c r="J12" i="36"/>
  <c r="F12" i="36"/>
  <c r="F13" i="36" s="1"/>
  <c r="AE11" i="36"/>
  <c r="AE13" i="36" s="1"/>
  <c r="AA11" i="36"/>
  <c r="AA13" i="36" s="1"/>
  <c r="W11" i="36"/>
  <c r="W13" i="36" s="1"/>
  <c r="S11" i="36"/>
  <c r="S13" i="36" s="1"/>
  <c r="O11" i="36"/>
  <c r="O13" i="36" s="1"/>
  <c r="K11" i="36"/>
  <c r="K13" i="36" s="1"/>
  <c r="G11" i="36"/>
  <c r="G13" i="36" s="1"/>
  <c r="AF11" i="36"/>
  <c r="AF13" i="36" s="1"/>
  <c r="X11" i="36"/>
  <c r="X13" i="36" s="1"/>
  <c r="P11" i="36"/>
  <c r="P13" i="36" s="1"/>
  <c r="D11" i="36"/>
  <c r="D13" i="36" s="1"/>
  <c r="AD13" i="36" l="1"/>
  <c r="R13" i="36"/>
  <c r="V13" i="36"/>
  <c r="N13" i="36"/>
  <c r="J13" i="36"/>
  <c r="Z13" i="36"/>
  <c r="D33" i="18"/>
  <c r="G17" i="18" l="1"/>
  <c r="H17" i="18" s="1"/>
  <c r="C61" i="18"/>
  <c r="D12" i="18" l="1"/>
  <c r="E12" i="18" l="1"/>
  <c r="H11" i="24" l="1"/>
  <c r="K8" i="24"/>
  <c r="H13" i="24" s="1"/>
  <c r="K7" i="24"/>
  <c r="B22" i="23"/>
  <c r="D38" i="23" s="1"/>
  <c r="B21" i="23"/>
  <c r="U21" i="23" s="1"/>
  <c r="B20" i="23"/>
  <c r="U20" i="23" s="1"/>
  <c r="T19" i="23"/>
  <c r="B19" i="23"/>
  <c r="S19" i="23" s="1"/>
  <c r="P18" i="23"/>
  <c r="B18" i="23"/>
  <c r="D34" i="23" s="1"/>
  <c r="Y17" i="23"/>
  <c r="B17" i="23"/>
  <c r="D33" i="23" s="1"/>
  <c r="Q16" i="23"/>
  <c r="O16" i="23"/>
  <c r="M16" i="23"/>
  <c r="B16" i="23"/>
  <c r="P16" i="23" s="1"/>
  <c r="M15" i="23"/>
  <c r="B15" i="23"/>
  <c r="N15" i="23" s="1"/>
  <c r="B14" i="23"/>
  <c r="N14" i="23" s="1"/>
  <c r="N13" i="23"/>
  <c r="M13" i="23"/>
  <c r="L13" i="23"/>
  <c r="K13" i="23"/>
  <c r="Y13" i="23" s="1"/>
  <c r="J13" i="23"/>
  <c r="J12" i="23"/>
  <c r="B12" i="23"/>
  <c r="K12" i="23" s="1"/>
  <c r="L11" i="23"/>
  <c r="K11" i="23"/>
  <c r="J11" i="23"/>
  <c r="I11" i="23"/>
  <c r="H11" i="23"/>
  <c r="Y11" i="23" s="1"/>
  <c r="K10" i="23"/>
  <c r="J10" i="23"/>
  <c r="I10" i="23"/>
  <c r="H10" i="23"/>
  <c r="G10" i="23"/>
  <c r="J9" i="23"/>
  <c r="J27" i="23" s="1"/>
  <c r="I9" i="23"/>
  <c r="H9" i="23"/>
  <c r="G9" i="23"/>
  <c r="F9" i="23"/>
  <c r="G8" i="23"/>
  <c r="B8" i="23"/>
  <c r="D30" i="23" s="1"/>
  <c r="H7" i="23"/>
  <c r="G7" i="23"/>
  <c r="F7" i="23"/>
  <c r="E7" i="23"/>
  <c r="D7" i="23"/>
  <c r="G6" i="23"/>
  <c r="F6" i="23"/>
  <c r="E6" i="23"/>
  <c r="D6" i="23"/>
  <c r="C6" i="23"/>
  <c r="Y6" i="23" s="1"/>
  <c r="I8" i="23" l="1"/>
  <c r="K14" i="23"/>
  <c r="Y7" i="23"/>
  <c r="Y9" i="23"/>
  <c r="L14" i="23"/>
  <c r="O14" i="23"/>
  <c r="M25" i="23" s="1"/>
  <c r="E8" i="23"/>
  <c r="Y10" i="23"/>
  <c r="M14" i="23"/>
  <c r="T21" i="23"/>
  <c r="T22" i="23"/>
  <c r="S21" i="23"/>
  <c r="D37" i="23"/>
  <c r="P19" i="23"/>
  <c r="V21" i="23"/>
  <c r="R19" i="23"/>
  <c r="R21" i="23"/>
  <c r="T20" i="23"/>
  <c r="L12" i="23"/>
  <c r="O15" i="23"/>
  <c r="N25" i="23" s="1"/>
  <c r="R18" i="23"/>
  <c r="R20" i="23"/>
  <c r="V22" i="23"/>
  <c r="D31" i="23"/>
  <c r="D35" i="23"/>
  <c r="F8" i="23"/>
  <c r="Y8" i="23" s="1"/>
  <c r="I12" i="23"/>
  <c r="I27" i="23" s="1"/>
  <c r="M12" i="23"/>
  <c r="L15" i="23"/>
  <c r="P15" i="23"/>
  <c r="N16" i="23"/>
  <c r="N27" i="23" s="1"/>
  <c r="O18" i="23"/>
  <c r="S18" i="23"/>
  <c r="Q19" i="23"/>
  <c r="S20" i="23"/>
  <c r="S22" i="23"/>
  <c r="W22" i="23"/>
  <c r="H25" i="23"/>
  <c r="G27" i="23"/>
  <c r="K27" i="23"/>
  <c r="D32" i="23"/>
  <c r="D36" i="23"/>
  <c r="H12" i="24"/>
  <c r="H14" i="24" s="1"/>
  <c r="H16" i="24" s="1"/>
  <c r="K16" i="24" s="1"/>
  <c r="K18" i="24" s="1"/>
  <c r="K20" i="24" s="1"/>
  <c r="B23" i="23" s="1"/>
  <c r="H8" i="23"/>
  <c r="F25" i="23" s="1"/>
  <c r="Q18" i="23"/>
  <c r="Q20" i="23"/>
  <c r="U22" i="23"/>
  <c r="AS47" i="6"/>
  <c r="AG21" i="14"/>
  <c r="AG22" i="14"/>
  <c r="AG23" i="14"/>
  <c r="AG24" i="14"/>
  <c r="AG25" i="14"/>
  <c r="AG26" i="14"/>
  <c r="AG27" i="14"/>
  <c r="AG20" i="14"/>
  <c r="AN57" i="4"/>
  <c r="AN58" i="4"/>
  <c r="AN59" i="4"/>
  <c r="AN60" i="4"/>
  <c r="AN61" i="4"/>
  <c r="AN62" i="4"/>
  <c r="AN63" i="4"/>
  <c r="AN56" i="4"/>
  <c r="W17" i="11"/>
  <c r="J25" i="23" l="1"/>
  <c r="Y19" i="23"/>
  <c r="Y14" i="23"/>
  <c r="Y15" i="23"/>
  <c r="Y21" i="23"/>
  <c r="Q27" i="23"/>
  <c r="W23" i="23"/>
  <c r="U23" i="23"/>
  <c r="U27" i="23" s="1"/>
  <c r="D39" i="23"/>
  <c r="X23" i="23"/>
  <c r="T23" i="23"/>
  <c r="T27" i="23" s="1"/>
  <c r="V23" i="23"/>
  <c r="V27" i="23" s="1"/>
  <c r="E39" i="23"/>
  <c r="R25" i="23"/>
  <c r="S27" i="23"/>
  <c r="Y20" i="23"/>
  <c r="Y22" i="23"/>
  <c r="Y18" i="23"/>
  <c r="M27" i="23"/>
  <c r="L25" i="23"/>
  <c r="Q25" i="23"/>
  <c r="R27" i="23"/>
  <c r="I25" i="23"/>
  <c r="L27" i="23"/>
  <c r="P25" i="23"/>
  <c r="Y12" i="23"/>
  <c r="K25" i="23"/>
  <c r="Y16" i="23"/>
  <c r="S25" i="23"/>
  <c r="G25" i="23"/>
  <c r="H27" i="23"/>
  <c r="O27" i="23"/>
  <c r="O25" i="23"/>
  <c r="P27" i="23"/>
  <c r="AC43" i="1"/>
  <c r="AC46" i="1" s="1"/>
  <c r="V25" i="23" l="1"/>
  <c r="W27" i="23"/>
  <c r="T25" i="23"/>
  <c r="Y23" i="23"/>
  <c r="Z23" i="23" s="1"/>
  <c r="U25" i="23"/>
  <c r="W25" i="23"/>
  <c r="X27" i="23"/>
  <c r="AC35" i="1"/>
  <c r="AG18" i="1"/>
  <c r="AC18" i="1"/>
  <c r="AC14" i="1"/>
  <c r="AC19" i="1"/>
  <c r="AC20" i="1"/>
  <c r="AF39" i="8" l="1"/>
  <c r="AF14" i="8" s="1"/>
  <c r="AF14" i="17" s="1"/>
  <c r="AF34" i="8"/>
  <c r="AF15" i="8"/>
  <c r="AF15" i="17" s="1"/>
  <c r="AF9" i="8"/>
  <c r="AF9" i="17" s="1"/>
  <c r="Z26" i="15"/>
  <c r="Z14" i="15" s="1"/>
  <c r="Z25" i="15"/>
  <c r="Z13" i="15" s="1"/>
  <c r="O11" i="19"/>
  <c r="O7" i="19"/>
  <c r="AF32" i="10"/>
  <c r="AF15" i="10" s="1"/>
  <c r="AF30" i="10"/>
  <c r="AF13" i="10" s="1"/>
  <c r="AF27" i="10"/>
  <c r="AF26" i="10"/>
  <c r="AF16" i="10"/>
  <c r="AF41" i="17" s="1"/>
  <c r="AF14" i="10"/>
  <c r="AF38" i="17" s="1"/>
  <c r="N11" i="19"/>
  <c r="N7" i="19"/>
  <c r="AF9" i="9"/>
  <c r="AC9" i="6"/>
  <c r="AC10" i="6"/>
  <c r="AC11" i="6"/>
  <c r="AK75" i="4"/>
  <c r="AL75" i="4"/>
  <c r="Z70" i="13"/>
  <c r="Z11" i="13"/>
  <c r="AE82" i="3"/>
  <c r="AE86" i="3" s="1"/>
  <c r="AE101" i="3"/>
  <c r="AE9" i="3"/>
  <c r="AE10" i="3"/>
  <c r="AE11" i="3"/>
  <c r="AE12" i="3"/>
  <c r="AE14" i="3"/>
  <c r="AE16" i="3"/>
  <c r="AE22" i="3"/>
  <c r="AE25" i="3"/>
  <c r="Z10" i="12"/>
  <c r="AF37" i="17" l="1"/>
  <c r="AF40" i="17"/>
  <c r="AF8" i="8"/>
  <c r="AF10" i="10"/>
  <c r="Y10" i="12"/>
  <c r="AF28" i="2"/>
  <c r="AF23" i="2"/>
  <c r="AF21" i="2"/>
  <c r="AF14" i="2"/>
  <c r="AF12" i="2"/>
  <c r="AF11" i="2"/>
  <c r="AF10" i="2"/>
  <c r="AF9" i="2"/>
  <c r="AF8" i="2"/>
  <c r="AF21" i="1"/>
  <c r="AF22" i="1" s="1"/>
  <c r="AF28" i="1"/>
  <c r="AF38" i="1"/>
  <c r="AF46" i="1"/>
  <c r="AG46" i="1"/>
  <c r="AG38" i="1"/>
  <c r="AE23" i="3" s="1"/>
  <c r="AG28" i="1"/>
  <c r="AF17" i="36" s="1"/>
  <c r="AG21" i="1"/>
  <c r="AG22" i="1" s="1"/>
  <c r="AE20" i="3" l="1"/>
  <c r="AE17" i="36"/>
  <c r="AF13" i="2"/>
  <c r="AF21" i="36"/>
  <c r="AF18" i="36"/>
  <c r="AF28" i="8"/>
  <c r="AF18" i="9"/>
  <c r="AC8" i="6"/>
  <c r="AC12" i="6" s="1"/>
  <c r="AC15" i="6" s="1"/>
  <c r="AE27" i="3"/>
  <c r="AF36" i="8"/>
  <c r="AF18" i="2"/>
  <c r="AF20" i="2"/>
  <c r="AF22" i="2" s="1"/>
  <c r="AF24" i="2" s="1"/>
  <c r="AF27" i="2" s="1"/>
  <c r="AF15" i="2"/>
  <c r="AE21" i="36" l="1"/>
  <c r="AE18" i="36"/>
  <c r="AF26" i="36"/>
  <c r="AF22" i="36"/>
  <c r="AF10" i="8"/>
  <c r="AF37" i="8"/>
  <c r="AE24" i="3"/>
  <c r="AE26" i="3" s="1"/>
  <c r="AE28" i="3" s="1"/>
  <c r="AE32" i="3" s="1"/>
  <c r="AF26" i="2"/>
  <c r="AF29" i="2" s="1"/>
  <c r="AF29" i="10" s="1"/>
  <c r="AF12" i="10" s="1"/>
  <c r="AE13" i="3"/>
  <c r="AE15" i="3" s="1"/>
  <c r="AE17" i="3" s="1"/>
  <c r="AE31" i="3" s="1"/>
  <c r="AE22" i="36" l="1"/>
  <c r="AE26" i="36"/>
  <c r="AE33" i="3"/>
  <c r="AE100" i="3" s="1"/>
  <c r="D61" i="18" l="1"/>
  <c r="E61" i="18" s="1"/>
  <c r="B61" i="18"/>
  <c r="G33" i="18" l="1"/>
  <c r="H33" i="18" s="1"/>
  <c r="V17" i="11"/>
  <c r="AB28" i="1"/>
  <c r="AA17" i="36" s="1"/>
  <c r="AC28" i="1"/>
  <c r="AB17" i="36" s="1"/>
  <c r="AA21" i="36" l="1"/>
  <c r="AA18" i="36"/>
  <c r="AB21" i="36"/>
  <c r="AB18" i="36"/>
  <c r="AB20" i="1"/>
  <c r="AB22" i="36" l="1"/>
  <c r="AB26" i="36"/>
  <c r="AA26" i="36"/>
  <c r="AA22" i="36"/>
  <c r="AA9" i="2"/>
  <c r="AE38" i="14" l="1"/>
  <c r="AD37" i="14"/>
  <c r="AD51" i="13"/>
  <c r="AE51" i="13"/>
  <c r="AE55" i="13" s="1"/>
  <c r="AF51" i="13"/>
  <c r="AF55" i="13" s="1"/>
  <c r="AG51" i="13"/>
  <c r="AG55" i="13" s="1"/>
  <c r="AH51" i="13"/>
  <c r="AH55" i="13" s="1"/>
  <c r="AB43" i="1"/>
  <c r="AB46" i="1" s="1"/>
  <c r="AB35" i="1"/>
  <c r="J17" i="18" l="1"/>
  <c r="K17" i="18" s="1"/>
  <c r="AA43" i="1" l="1"/>
  <c r="AA46" i="1" s="1"/>
  <c r="AA44" i="1"/>
  <c r="AA35" i="1"/>
  <c r="AA38" i="1" s="1"/>
  <c r="AE39" i="8" l="1"/>
  <c r="AE14" i="8" s="1"/>
  <c r="AE14" i="17" s="1"/>
  <c r="AE34" i="8"/>
  <c r="AE8" i="8" s="1"/>
  <c r="AE15" i="8"/>
  <c r="AE15" i="17" s="1"/>
  <c r="AE9" i="8"/>
  <c r="AE9" i="17" s="1"/>
  <c r="Y26" i="15"/>
  <c r="Y14" i="15" s="1"/>
  <c r="Y25" i="15"/>
  <c r="Y13" i="15" s="1"/>
  <c r="AE32" i="10"/>
  <c r="AE15" i="10" s="1"/>
  <c r="AE30" i="10"/>
  <c r="AE13" i="10" s="1"/>
  <c r="AE27" i="10"/>
  <c r="AE26" i="10"/>
  <c r="AE10" i="10" s="1"/>
  <c r="AE16" i="10"/>
  <c r="AE41" i="17" s="1"/>
  <c r="AE14" i="10"/>
  <c r="AE38" i="17" s="1"/>
  <c r="M11" i="19"/>
  <c r="M7" i="19"/>
  <c r="AE9" i="9"/>
  <c r="AB9" i="6"/>
  <c r="AB10" i="6"/>
  <c r="AB11" i="6"/>
  <c r="Y70" i="13"/>
  <c r="Y11" i="13"/>
  <c r="Y11" i="3"/>
  <c r="Z11" i="3"/>
  <c r="AA11" i="3"/>
  <c r="AB11" i="3"/>
  <c r="AC11" i="3"/>
  <c r="AD11" i="3"/>
  <c r="AE40" i="17" l="1"/>
  <c r="AE37" i="17"/>
  <c r="AD82" i="3"/>
  <c r="AD101" i="3"/>
  <c r="AD9" i="3"/>
  <c r="AD10" i="3"/>
  <c r="AD12" i="3"/>
  <c r="AD14" i="3"/>
  <c r="AD16" i="3"/>
  <c r="AD22" i="3"/>
  <c r="AD25" i="3"/>
  <c r="AD8" i="2"/>
  <c r="AD9" i="2"/>
  <c r="AD10" i="2"/>
  <c r="AD11" i="2"/>
  <c r="AD12" i="2"/>
  <c r="AD14" i="2"/>
  <c r="AD21" i="2"/>
  <c r="AD23" i="2"/>
  <c r="AD28" i="2"/>
  <c r="AE28" i="2"/>
  <c r="AE23" i="2"/>
  <c r="AE21" i="2"/>
  <c r="AE14" i="2"/>
  <c r="AE12" i="2"/>
  <c r="AE11" i="2"/>
  <c r="AE10" i="2"/>
  <c r="AE9" i="2"/>
  <c r="AE8" i="2"/>
  <c r="AD23" i="3"/>
  <c r="C19" i="18"/>
  <c r="D26" i="18"/>
  <c r="E26" i="18"/>
  <c r="C16" i="17"/>
  <c r="D16" i="17"/>
  <c r="E16" i="17"/>
  <c r="C35" i="17"/>
  <c r="C43" i="17"/>
  <c r="D43" i="17"/>
  <c r="E43" i="17"/>
  <c r="C10" i="16"/>
  <c r="K16" i="16"/>
  <c r="L16" i="16"/>
  <c r="M16" i="16"/>
  <c r="N16" i="16"/>
  <c r="O16" i="16"/>
  <c r="P16" i="16"/>
  <c r="Q16" i="16"/>
  <c r="R16" i="16"/>
  <c r="S16" i="16"/>
  <c r="C24" i="16"/>
  <c r="C8" i="16" s="1"/>
  <c r="D24" i="16"/>
  <c r="D8" i="16" s="1"/>
  <c r="E24" i="16"/>
  <c r="E8" i="16" s="1"/>
  <c r="F24" i="16"/>
  <c r="F8" i="16" s="1"/>
  <c r="G24" i="16"/>
  <c r="G8" i="16" s="1"/>
  <c r="H24" i="16"/>
  <c r="H8" i="16" s="1"/>
  <c r="I24" i="16"/>
  <c r="I8" i="16" s="1"/>
  <c r="J24" i="16"/>
  <c r="J8" i="16" s="1"/>
  <c r="K24" i="16"/>
  <c r="K8" i="16" s="1"/>
  <c r="M24" i="16"/>
  <c r="M8" i="16" s="1"/>
  <c r="N24" i="16"/>
  <c r="N8" i="16" s="1"/>
  <c r="O24" i="16"/>
  <c r="O8" i="16" s="1"/>
  <c r="P24" i="16"/>
  <c r="P8" i="16" s="1"/>
  <c r="Q24" i="16"/>
  <c r="Q8" i="16" s="1"/>
  <c r="R24" i="16"/>
  <c r="R8" i="16" s="1"/>
  <c r="S24" i="16"/>
  <c r="S8" i="16" s="1"/>
  <c r="C25" i="16"/>
  <c r="C9" i="16" s="1"/>
  <c r="D25" i="16"/>
  <c r="D9" i="16" s="1"/>
  <c r="E25" i="16"/>
  <c r="E9" i="16" s="1"/>
  <c r="F25" i="16"/>
  <c r="F9" i="16" s="1"/>
  <c r="G25" i="16"/>
  <c r="G9" i="16" s="1"/>
  <c r="H25" i="16"/>
  <c r="H9" i="16" s="1"/>
  <c r="I25" i="16"/>
  <c r="I9" i="16" s="1"/>
  <c r="J25" i="16"/>
  <c r="J9" i="16" s="1"/>
  <c r="K25" i="16"/>
  <c r="K9" i="16" s="1"/>
  <c r="L25" i="16"/>
  <c r="L9" i="16" s="1"/>
  <c r="M25" i="16"/>
  <c r="M9" i="16" s="1"/>
  <c r="N25" i="16"/>
  <c r="N9" i="16" s="1"/>
  <c r="O25" i="16"/>
  <c r="O9" i="16" s="1"/>
  <c r="P25" i="16"/>
  <c r="P9" i="16" s="1"/>
  <c r="Q25" i="16"/>
  <c r="Q9" i="16" s="1"/>
  <c r="R25" i="16"/>
  <c r="R9" i="16" s="1"/>
  <c r="S25" i="16"/>
  <c r="S9" i="16" s="1"/>
  <c r="C26" i="16"/>
  <c r="C28" i="16" s="1"/>
  <c r="C9" i="8"/>
  <c r="C9" i="17" s="1"/>
  <c r="D9" i="8"/>
  <c r="D9" i="17"/>
  <c r="E9" i="8"/>
  <c r="E9" i="17"/>
  <c r="F9" i="8"/>
  <c r="F9" i="17"/>
  <c r="G9" i="8"/>
  <c r="G9" i="17"/>
  <c r="H9" i="8"/>
  <c r="H9" i="17"/>
  <c r="I9" i="8"/>
  <c r="I9" i="17"/>
  <c r="J9" i="8"/>
  <c r="J9" i="17"/>
  <c r="K9" i="8"/>
  <c r="K9" i="17"/>
  <c r="L9" i="8"/>
  <c r="L9" i="17"/>
  <c r="M9" i="8"/>
  <c r="M9" i="17"/>
  <c r="N9" i="8"/>
  <c r="N9" i="17"/>
  <c r="O9" i="8"/>
  <c r="O9" i="17"/>
  <c r="P9" i="8"/>
  <c r="P9" i="17"/>
  <c r="Q9" i="8"/>
  <c r="Q9" i="17" s="1"/>
  <c r="R9" i="8"/>
  <c r="R9" i="17"/>
  <c r="S9" i="8"/>
  <c r="S9" i="17" s="1"/>
  <c r="T9" i="8"/>
  <c r="T9" i="17"/>
  <c r="U9" i="8"/>
  <c r="U9" i="17" s="1"/>
  <c r="V9" i="8"/>
  <c r="V9" i="17" s="1"/>
  <c r="W9" i="8"/>
  <c r="W9" i="17" s="1"/>
  <c r="E25" i="18" s="1"/>
  <c r="X9" i="8"/>
  <c r="X9" i="17" s="1"/>
  <c r="D25" i="18" s="1"/>
  <c r="Y9" i="8"/>
  <c r="Y9" i="17" s="1"/>
  <c r="Z9" i="8"/>
  <c r="Z9" i="17" s="1"/>
  <c r="AA9" i="8"/>
  <c r="AA9" i="17"/>
  <c r="AB9" i="8"/>
  <c r="AB9" i="17"/>
  <c r="AC9" i="8"/>
  <c r="AC9" i="17"/>
  <c r="AD9" i="8"/>
  <c r="AD9" i="17"/>
  <c r="C15" i="8"/>
  <c r="C15" i="17" s="1"/>
  <c r="D15" i="8"/>
  <c r="D15" i="17" s="1"/>
  <c r="E15" i="8"/>
  <c r="E15" i="17" s="1"/>
  <c r="T15" i="8"/>
  <c r="T15" i="17" s="1"/>
  <c r="U15" i="8"/>
  <c r="U15" i="17" s="1"/>
  <c r="V15" i="8"/>
  <c r="V15" i="17" s="1"/>
  <c r="W15" i="8"/>
  <c r="W15" i="17" s="1"/>
  <c r="X15" i="8"/>
  <c r="X15" i="17" s="1"/>
  <c r="Y15" i="8"/>
  <c r="Y15" i="17" s="1"/>
  <c r="Z15" i="8"/>
  <c r="Z15" i="17" s="1"/>
  <c r="AA15" i="8"/>
  <c r="AA15" i="17" s="1"/>
  <c r="E31" i="18" s="1"/>
  <c r="AB15" i="8"/>
  <c r="AB15" i="17" s="1"/>
  <c r="D31" i="18" s="1"/>
  <c r="AC15" i="8"/>
  <c r="AC15" i="17" s="1"/>
  <c r="AD15" i="8"/>
  <c r="AD15" i="17" s="1"/>
  <c r="C34" i="8"/>
  <c r="D34" i="8"/>
  <c r="D8" i="8" s="1"/>
  <c r="D8" i="17" s="1"/>
  <c r="E34" i="8"/>
  <c r="E8" i="8" s="1"/>
  <c r="E8" i="17" s="1"/>
  <c r="F34" i="8"/>
  <c r="F8" i="8" s="1"/>
  <c r="F8" i="17" s="1"/>
  <c r="G34" i="8"/>
  <c r="G8" i="8" s="1"/>
  <c r="G8" i="17" s="1"/>
  <c r="H34" i="8"/>
  <c r="H8" i="8" s="1"/>
  <c r="H8" i="17" s="1"/>
  <c r="I34" i="8"/>
  <c r="I8" i="8" s="1"/>
  <c r="I8" i="17" s="1"/>
  <c r="J34" i="8"/>
  <c r="K34" i="8"/>
  <c r="K8" i="8" s="1"/>
  <c r="L34" i="8"/>
  <c r="L8" i="8" s="1"/>
  <c r="L8" i="17" s="1"/>
  <c r="M34" i="8"/>
  <c r="M8" i="8" s="1"/>
  <c r="N34" i="8"/>
  <c r="N8" i="8" s="1"/>
  <c r="N8" i="17" s="1"/>
  <c r="O34" i="8"/>
  <c r="O8" i="8" s="1"/>
  <c r="P34" i="8"/>
  <c r="P8" i="8" s="1"/>
  <c r="P8" i="17" s="1"/>
  <c r="Q34" i="8"/>
  <c r="Q8" i="8" s="1"/>
  <c r="R34" i="8"/>
  <c r="R8" i="8" s="1"/>
  <c r="S34" i="8"/>
  <c r="S8" i="8" s="1"/>
  <c r="S8" i="17" s="1"/>
  <c r="T34" i="8"/>
  <c r="T8" i="8" s="1"/>
  <c r="T8" i="17" s="1"/>
  <c r="U34" i="8"/>
  <c r="U8" i="8" s="1"/>
  <c r="U8" i="17" s="1"/>
  <c r="V34" i="8"/>
  <c r="V8" i="8" s="1"/>
  <c r="W34" i="8"/>
  <c r="W8" i="8" s="1"/>
  <c r="W8" i="17" s="1"/>
  <c r="X34" i="8"/>
  <c r="X8" i="8" s="1"/>
  <c r="X8" i="17" s="1"/>
  <c r="Y34" i="8"/>
  <c r="Y8" i="8" s="1"/>
  <c r="Z34" i="8"/>
  <c r="Z8" i="8" s="1"/>
  <c r="AA34" i="8"/>
  <c r="AA8" i="8" s="1"/>
  <c r="AB34" i="8"/>
  <c r="AB8" i="8" s="1"/>
  <c r="AC34" i="8"/>
  <c r="AC8" i="8" s="1"/>
  <c r="AD34" i="8"/>
  <c r="AD8" i="8" s="1"/>
  <c r="C36" i="8"/>
  <c r="C10" i="8" s="1"/>
  <c r="C11" i="17" s="1"/>
  <c r="D36" i="8"/>
  <c r="D10" i="8" s="1"/>
  <c r="D11" i="17" s="1"/>
  <c r="E36" i="8"/>
  <c r="F36" i="8"/>
  <c r="F10" i="8" s="1"/>
  <c r="F11" i="17" s="1"/>
  <c r="C38" i="8"/>
  <c r="C11" i="8" s="1"/>
  <c r="C12" i="17" s="1"/>
  <c r="C39" i="8"/>
  <c r="C14" i="8" s="1"/>
  <c r="C14" i="17" s="1"/>
  <c r="D39" i="8"/>
  <c r="D14" i="8" s="1"/>
  <c r="D14" i="17" s="1"/>
  <c r="E39" i="8"/>
  <c r="E14" i="8" s="1"/>
  <c r="E14" i="17" s="1"/>
  <c r="F39" i="8"/>
  <c r="F14" i="8" s="1"/>
  <c r="F14" i="17" s="1"/>
  <c r="G39" i="8"/>
  <c r="G14" i="8" s="1"/>
  <c r="G14" i="17" s="1"/>
  <c r="H39" i="8"/>
  <c r="H14" i="8" s="1"/>
  <c r="H14" i="17" s="1"/>
  <c r="I39" i="8"/>
  <c r="I14" i="8" s="1"/>
  <c r="I14" i="17" s="1"/>
  <c r="J39" i="8"/>
  <c r="J14" i="8" s="1"/>
  <c r="J14" i="17"/>
  <c r="K39" i="8"/>
  <c r="K14" i="8" s="1"/>
  <c r="K14" i="17" s="1"/>
  <c r="L39" i="8"/>
  <c r="L14" i="8" s="1"/>
  <c r="L14" i="17" s="1"/>
  <c r="M39" i="8"/>
  <c r="M14" i="8" s="1"/>
  <c r="M14" i="17" s="1"/>
  <c r="N39" i="8"/>
  <c r="N14" i="8" s="1"/>
  <c r="N14" i="17" s="1"/>
  <c r="O39" i="8"/>
  <c r="O14" i="8" s="1"/>
  <c r="O14" i="17" s="1"/>
  <c r="P39" i="8"/>
  <c r="P14" i="8" s="1"/>
  <c r="P14" i="17" s="1"/>
  <c r="Q39" i="8"/>
  <c r="Q14" i="8" s="1"/>
  <c r="Q14" i="17" s="1"/>
  <c r="R39" i="8"/>
  <c r="R14" i="8" s="1"/>
  <c r="R14" i="17" s="1"/>
  <c r="S39" i="8"/>
  <c r="S14" i="8" s="1"/>
  <c r="S14" i="17" s="1"/>
  <c r="T39" i="8"/>
  <c r="T14" i="8" s="1"/>
  <c r="T14" i="17" s="1"/>
  <c r="U39" i="8"/>
  <c r="U14" i="8" s="1"/>
  <c r="U14" i="17" s="1"/>
  <c r="V39" i="8"/>
  <c r="V14" i="8" s="1"/>
  <c r="V14" i="17" s="1"/>
  <c r="W39" i="8"/>
  <c r="W14" i="8" s="1"/>
  <c r="W14" i="17" s="1"/>
  <c r="X39" i="8"/>
  <c r="X14" i="8" s="1"/>
  <c r="X14" i="17" s="1"/>
  <c r="Y39" i="8"/>
  <c r="Y14" i="8" s="1"/>
  <c r="Y14" i="17" s="1"/>
  <c r="Z39" i="8"/>
  <c r="Z14" i="8" s="1"/>
  <c r="Z14" i="17" s="1"/>
  <c r="AA39" i="8"/>
  <c r="AA14" i="8" s="1"/>
  <c r="AA14" i="17" s="1"/>
  <c r="E30" i="18" s="1"/>
  <c r="AB39" i="8"/>
  <c r="AB14" i="8" s="1"/>
  <c r="AB14" i="17" s="1"/>
  <c r="D30" i="18" s="1"/>
  <c r="AC39" i="8"/>
  <c r="AC14" i="8" s="1"/>
  <c r="AC14" i="17" s="1"/>
  <c r="AD39" i="8"/>
  <c r="AD14" i="8" s="1"/>
  <c r="AD14" i="17" s="1"/>
  <c r="Q18" i="15"/>
  <c r="C21" i="15"/>
  <c r="C10" i="15" s="1"/>
  <c r="D21" i="15"/>
  <c r="D10" i="15" s="1"/>
  <c r="E21" i="15"/>
  <c r="E10" i="15" s="1"/>
  <c r="F21" i="15"/>
  <c r="F10" i="15" s="1"/>
  <c r="G21" i="15"/>
  <c r="G10" i="15" s="1"/>
  <c r="H21" i="15"/>
  <c r="H10" i="15" s="1"/>
  <c r="I21" i="15"/>
  <c r="I10" i="15" s="1"/>
  <c r="J21" i="15"/>
  <c r="J10" i="15" s="1"/>
  <c r="K21" i="15"/>
  <c r="K10" i="15" s="1"/>
  <c r="L21" i="15"/>
  <c r="L10" i="15" s="1"/>
  <c r="M21" i="15"/>
  <c r="M10" i="15" s="1"/>
  <c r="N21" i="15"/>
  <c r="N10" i="15" s="1"/>
  <c r="O21" i="15"/>
  <c r="O10" i="15" s="1"/>
  <c r="P21" i="15"/>
  <c r="P10" i="15" s="1"/>
  <c r="Q21" i="15"/>
  <c r="Q10" i="15" s="1"/>
  <c r="R21" i="15"/>
  <c r="R10" i="15" s="1"/>
  <c r="C22" i="15"/>
  <c r="D22" i="15"/>
  <c r="E22" i="15"/>
  <c r="F22" i="15"/>
  <c r="G22" i="15"/>
  <c r="H22" i="15"/>
  <c r="I22" i="15"/>
  <c r="J22" i="15"/>
  <c r="K22" i="15"/>
  <c r="L22" i="15"/>
  <c r="M22" i="15"/>
  <c r="N22" i="15"/>
  <c r="O22" i="15"/>
  <c r="P22" i="15"/>
  <c r="Q22" i="15"/>
  <c r="R22" i="15"/>
  <c r="C25" i="15"/>
  <c r="C13" i="15" s="1"/>
  <c r="D25" i="15"/>
  <c r="D13" i="15" s="1"/>
  <c r="E25" i="15"/>
  <c r="E13" i="15" s="1"/>
  <c r="F25" i="15"/>
  <c r="F13" i="15" s="1"/>
  <c r="G25" i="15"/>
  <c r="G13" i="15" s="1"/>
  <c r="H25" i="15"/>
  <c r="H13" i="15" s="1"/>
  <c r="I25" i="15"/>
  <c r="I13" i="15" s="1"/>
  <c r="J25" i="15"/>
  <c r="J13" i="15" s="1"/>
  <c r="K25" i="15"/>
  <c r="K13" i="15" s="1"/>
  <c r="L25" i="15"/>
  <c r="L13" i="15" s="1"/>
  <c r="M25" i="15"/>
  <c r="M13" i="15" s="1"/>
  <c r="N25" i="15"/>
  <c r="N13" i="15" s="1"/>
  <c r="O25" i="15"/>
  <c r="O13" i="15" s="1"/>
  <c r="P25" i="15"/>
  <c r="P13" i="15" s="1"/>
  <c r="Q25" i="15"/>
  <c r="Q13" i="15" s="1"/>
  <c r="R25" i="15"/>
  <c r="R13" i="15" s="1"/>
  <c r="S25" i="15"/>
  <c r="S13" i="15" s="1"/>
  <c r="T25" i="15"/>
  <c r="T13" i="15" s="1"/>
  <c r="U25" i="15"/>
  <c r="U13" i="15" s="1"/>
  <c r="V25" i="15"/>
  <c r="V13" i="15" s="1"/>
  <c r="W25" i="15"/>
  <c r="W13" i="15" s="1"/>
  <c r="X25" i="15"/>
  <c r="X13" i="15" s="1"/>
  <c r="U26" i="15"/>
  <c r="U14" i="15" s="1"/>
  <c r="V26" i="15"/>
  <c r="V14" i="15" s="1"/>
  <c r="W26" i="15"/>
  <c r="W14" i="15" s="1"/>
  <c r="X26" i="15"/>
  <c r="X14" i="15" s="1"/>
  <c r="C14" i="10"/>
  <c r="C38" i="17" s="1"/>
  <c r="D14" i="10"/>
  <c r="D38" i="17" s="1"/>
  <c r="E14" i="10"/>
  <c r="E38" i="17" s="1"/>
  <c r="F14" i="10"/>
  <c r="F38" i="17" s="1"/>
  <c r="G14" i="10"/>
  <c r="G38" i="17" s="1"/>
  <c r="H14" i="10"/>
  <c r="H38" i="17" s="1"/>
  <c r="I14" i="10"/>
  <c r="I38" i="17" s="1"/>
  <c r="J14" i="10"/>
  <c r="J38" i="17" s="1"/>
  <c r="K14" i="10"/>
  <c r="K38" i="17" s="1"/>
  <c r="L14" i="10"/>
  <c r="L38" i="17" s="1"/>
  <c r="M14" i="10"/>
  <c r="M38" i="17" s="1"/>
  <c r="N14" i="10"/>
  <c r="N38" i="17" s="1"/>
  <c r="O14" i="10"/>
  <c r="O38" i="17" s="1"/>
  <c r="P14" i="10"/>
  <c r="P38" i="17" s="1"/>
  <c r="Q14" i="10"/>
  <c r="Q38" i="17" s="1"/>
  <c r="R14" i="10"/>
  <c r="R38" i="17" s="1"/>
  <c r="S14" i="10"/>
  <c r="S38" i="17" s="1"/>
  <c r="T14" i="10"/>
  <c r="T38" i="17" s="1"/>
  <c r="U14" i="10"/>
  <c r="U38" i="17" s="1"/>
  <c r="V14" i="10"/>
  <c r="V38" i="17" s="1"/>
  <c r="W14" i="10"/>
  <c r="W38" i="17" s="1"/>
  <c r="X14" i="10"/>
  <c r="X38" i="17" s="1"/>
  <c r="Y14" i="10"/>
  <c r="Y38" i="17"/>
  <c r="Z14" i="10"/>
  <c r="Z38" i="17"/>
  <c r="AA14" i="10"/>
  <c r="AA38" i="17"/>
  <c r="E11" i="18" s="1"/>
  <c r="AB14" i="10"/>
  <c r="AB38" i="17"/>
  <c r="D11" i="18" s="1"/>
  <c r="AC14" i="10"/>
  <c r="AC38" i="17"/>
  <c r="AD14" i="10"/>
  <c r="AD38" i="17" s="1"/>
  <c r="C16" i="10"/>
  <c r="C41" i="17" s="1"/>
  <c r="D16" i="10"/>
  <c r="D41" i="17" s="1"/>
  <c r="E16" i="10"/>
  <c r="E41" i="17" s="1"/>
  <c r="T16" i="10"/>
  <c r="T41" i="17" s="1"/>
  <c r="U16" i="10"/>
  <c r="U41" i="17" s="1"/>
  <c r="V16" i="10"/>
  <c r="V41" i="17" s="1"/>
  <c r="W16" i="10"/>
  <c r="W41" i="17" s="1"/>
  <c r="X16" i="10"/>
  <c r="X41" i="17" s="1"/>
  <c r="Y16" i="10"/>
  <c r="Y41" i="17" s="1"/>
  <c r="Z16" i="10"/>
  <c r="Z41" i="17" s="1"/>
  <c r="AA16" i="10"/>
  <c r="AA41" i="17" s="1"/>
  <c r="E14" i="18" s="1"/>
  <c r="AB16" i="10"/>
  <c r="AB41" i="17" s="1"/>
  <c r="D14" i="18" s="1"/>
  <c r="AC16" i="10"/>
  <c r="AC41" i="17" s="1"/>
  <c r="AD16" i="10"/>
  <c r="AD41" i="17" s="1"/>
  <c r="C26" i="10"/>
  <c r="C10" i="10" s="1"/>
  <c r="C34" i="17" s="1"/>
  <c r="D26" i="10"/>
  <c r="D10" i="10" s="1"/>
  <c r="D34" i="17" s="1"/>
  <c r="E26" i="10"/>
  <c r="E10" i="10" s="1"/>
  <c r="E34" i="17" s="1"/>
  <c r="F26" i="10"/>
  <c r="F10" i="10" s="1"/>
  <c r="F34" i="17" s="1"/>
  <c r="G26" i="10"/>
  <c r="G10" i="10" s="1"/>
  <c r="G34" i="17" s="1"/>
  <c r="H26" i="10"/>
  <c r="H10" i="10" s="1"/>
  <c r="H34" i="17" s="1"/>
  <c r="I26" i="10"/>
  <c r="I10" i="10" s="1"/>
  <c r="I34" i="17" s="1"/>
  <c r="J26" i="10"/>
  <c r="J10" i="10" s="1"/>
  <c r="K26" i="10"/>
  <c r="K10" i="10" s="1"/>
  <c r="K34" i="17" s="1"/>
  <c r="L26" i="10"/>
  <c r="L10" i="10" s="1"/>
  <c r="M26" i="10"/>
  <c r="M10" i="10" s="1"/>
  <c r="N26" i="10"/>
  <c r="N10" i="10" s="1"/>
  <c r="O26" i="10"/>
  <c r="O10" i="10" s="1"/>
  <c r="O34" i="17" s="1"/>
  <c r="P26" i="10"/>
  <c r="P10" i="10" s="1"/>
  <c r="P34" i="17" s="1"/>
  <c r="Q26" i="10"/>
  <c r="Q10" i="10" s="1"/>
  <c r="Q34" i="17" s="1"/>
  <c r="R26" i="10"/>
  <c r="R10" i="10" s="1"/>
  <c r="U26" i="10"/>
  <c r="U10" i="10" s="1"/>
  <c r="U34" i="17" s="1"/>
  <c r="V26" i="10"/>
  <c r="V10" i="10" s="1"/>
  <c r="V34" i="17" s="1"/>
  <c r="W26" i="10"/>
  <c r="W10" i="10" s="1"/>
  <c r="W34" i="17" s="1"/>
  <c r="X26" i="10"/>
  <c r="X10" i="10" s="1"/>
  <c r="X34" i="17" s="1"/>
  <c r="Y26" i="10"/>
  <c r="Y10" i="10" s="1"/>
  <c r="Z26" i="10"/>
  <c r="Z10" i="10" s="1"/>
  <c r="AA26" i="10"/>
  <c r="AA10" i="10" s="1"/>
  <c r="AB26" i="10"/>
  <c r="AB10" i="10" s="1"/>
  <c r="AC26" i="10"/>
  <c r="AC10" i="10" s="1"/>
  <c r="AD26" i="10"/>
  <c r="AD10" i="10" s="1"/>
  <c r="C27" i="10"/>
  <c r="D27" i="10"/>
  <c r="E27" i="10"/>
  <c r="F27" i="10"/>
  <c r="G27" i="10"/>
  <c r="H27" i="10"/>
  <c r="I27" i="10"/>
  <c r="J27" i="10"/>
  <c r="K27" i="10"/>
  <c r="L27" i="10"/>
  <c r="M27" i="10"/>
  <c r="N27" i="10"/>
  <c r="O27" i="10"/>
  <c r="P27" i="10"/>
  <c r="Q27" i="10"/>
  <c r="R27" i="10"/>
  <c r="S27" i="10"/>
  <c r="T27" i="10"/>
  <c r="U27" i="10"/>
  <c r="V27" i="10"/>
  <c r="W27" i="10"/>
  <c r="Y27" i="10"/>
  <c r="Z27" i="10"/>
  <c r="AA27" i="10"/>
  <c r="AB27" i="10"/>
  <c r="AC27" i="10"/>
  <c r="AD27" i="10"/>
  <c r="C30" i="10"/>
  <c r="C13" i="10" s="1"/>
  <c r="C37" i="17" s="1"/>
  <c r="D30" i="10"/>
  <c r="D13" i="10" s="1"/>
  <c r="D37" i="17" s="1"/>
  <c r="E30" i="10"/>
  <c r="E13" i="10" s="1"/>
  <c r="E37" i="17" s="1"/>
  <c r="F30" i="10"/>
  <c r="F13" i="10" s="1"/>
  <c r="F37" i="17" s="1"/>
  <c r="G30" i="10"/>
  <c r="G13" i="10" s="1"/>
  <c r="G37" i="17" s="1"/>
  <c r="H30" i="10"/>
  <c r="H13" i="10" s="1"/>
  <c r="H37" i="17" s="1"/>
  <c r="I30" i="10"/>
  <c r="I13" i="10" s="1"/>
  <c r="I37" i="17" s="1"/>
  <c r="J30" i="10"/>
  <c r="J13" i="10" s="1"/>
  <c r="J37" i="17" s="1"/>
  <c r="K30" i="10"/>
  <c r="K13" i="10" s="1"/>
  <c r="K37" i="17" s="1"/>
  <c r="L30" i="10"/>
  <c r="L13" i="10" s="1"/>
  <c r="M30" i="10"/>
  <c r="M13" i="10" s="1"/>
  <c r="N30" i="10"/>
  <c r="N13" i="10" s="1"/>
  <c r="O30" i="10"/>
  <c r="O13" i="10" s="1"/>
  <c r="P30" i="10"/>
  <c r="P13" i="10" s="1"/>
  <c r="Q30" i="10"/>
  <c r="Q13" i="10" s="1"/>
  <c r="Q37" i="17" s="1"/>
  <c r="R30" i="10"/>
  <c r="R13" i="10" s="1"/>
  <c r="S30" i="10"/>
  <c r="S13" i="10" s="1"/>
  <c r="T30" i="10"/>
  <c r="T13" i="10" s="1"/>
  <c r="U30" i="10"/>
  <c r="U13" i="10" s="1"/>
  <c r="V30" i="10"/>
  <c r="V13" i="10" s="1"/>
  <c r="W30" i="10"/>
  <c r="W13" i="10"/>
  <c r="X30" i="10"/>
  <c r="X13" i="10" s="1"/>
  <c r="Y30" i="10"/>
  <c r="Y13" i="10" s="1"/>
  <c r="Z30" i="10"/>
  <c r="Z13" i="10"/>
  <c r="AA30" i="10"/>
  <c r="AA13" i="10" s="1"/>
  <c r="AB30" i="10"/>
  <c r="AB13" i="10" s="1"/>
  <c r="AC30" i="10"/>
  <c r="AC13" i="10" s="1"/>
  <c r="AD30" i="10"/>
  <c r="AD13" i="10" s="1"/>
  <c r="C32" i="10"/>
  <c r="D32" i="10"/>
  <c r="D15" i="10" s="1"/>
  <c r="D40" i="17" s="1"/>
  <c r="AA32" i="10"/>
  <c r="AA15" i="10" s="1"/>
  <c r="AB32" i="10"/>
  <c r="AB15" i="10" s="1"/>
  <c r="AC32" i="10"/>
  <c r="AC15" i="10" s="1"/>
  <c r="AD32" i="10"/>
  <c r="AD15" i="10" s="1"/>
  <c r="C7" i="19"/>
  <c r="D7" i="19"/>
  <c r="E7" i="19"/>
  <c r="F7" i="19"/>
  <c r="G7" i="19"/>
  <c r="H7" i="19"/>
  <c r="I7" i="19"/>
  <c r="J7" i="19"/>
  <c r="K7" i="19"/>
  <c r="L7" i="19"/>
  <c r="C11" i="19"/>
  <c r="D11" i="19"/>
  <c r="D13" i="19" s="1"/>
  <c r="E11" i="19"/>
  <c r="F11" i="19"/>
  <c r="G11" i="19"/>
  <c r="H11" i="19"/>
  <c r="I11" i="19"/>
  <c r="J11" i="19"/>
  <c r="K11" i="19"/>
  <c r="L11" i="19"/>
  <c r="C13" i="19"/>
  <c r="C9" i="9"/>
  <c r="D9" i="9"/>
  <c r="E9" i="9"/>
  <c r="F9" i="9"/>
  <c r="G9" i="9"/>
  <c r="H9" i="9"/>
  <c r="I9" i="9"/>
  <c r="J9" i="9"/>
  <c r="K9" i="9"/>
  <c r="L9" i="9"/>
  <c r="M9" i="9"/>
  <c r="N9" i="9"/>
  <c r="O9" i="9"/>
  <c r="P9" i="9"/>
  <c r="Q9" i="9"/>
  <c r="R9" i="9"/>
  <c r="S9" i="9"/>
  <c r="T9" i="9"/>
  <c r="U9" i="9"/>
  <c r="V9" i="9"/>
  <c r="W9" i="9"/>
  <c r="Y9" i="9"/>
  <c r="Z9" i="9"/>
  <c r="AA9" i="9"/>
  <c r="AB9" i="9"/>
  <c r="AC9" i="9"/>
  <c r="AD9" i="9"/>
  <c r="C10" i="9"/>
  <c r="D10" i="9"/>
  <c r="E10" i="9"/>
  <c r="F10" i="9"/>
  <c r="G10" i="9"/>
  <c r="H10" i="9"/>
  <c r="I10" i="9"/>
  <c r="J10" i="9"/>
  <c r="K10" i="9"/>
  <c r="L10" i="9"/>
  <c r="M10" i="9"/>
  <c r="N10" i="9"/>
  <c r="O10" i="9"/>
  <c r="P10" i="9"/>
  <c r="Q10" i="9"/>
  <c r="R10" i="9"/>
  <c r="S25" i="9"/>
  <c r="U9" i="6"/>
  <c r="V9" i="6"/>
  <c r="W9" i="6"/>
  <c r="X9" i="6"/>
  <c r="Y9" i="6"/>
  <c r="Z9" i="6"/>
  <c r="AA9" i="6"/>
  <c r="C10" i="6"/>
  <c r="D10" i="6"/>
  <c r="E10" i="6"/>
  <c r="F10" i="6"/>
  <c r="G10" i="6"/>
  <c r="H10" i="6"/>
  <c r="I10" i="6"/>
  <c r="J10" i="6"/>
  <c r="K10" i="6"/>
  <c r="L10" i="6"/>
  <c r="M10" i="6"/>
  <c r="N10" i="6"/>
  <c r="O10" i="6"/>
  <c r="P10" i="6"/>
  <c r="Q10" i="6"/>
  <c r="R10" i="6"/>
  <c r="S10" i="6"/>
  <c r="T10" i="6"/>
  <c r="V10" i="6"/>
  <c r="W10" i="6"/>
  <c r="X10" i="6"/>
  <c r="Y10" i="6"/>
  <c r="Z10" i="6"/>
  <c r="AA10" i="6"/>
  <c r="C11" i="6"/>
  <c r="D11" i="6"/>
  <c r="E11" i="6"/>
  <c r="F11" i="6"/>
  <c r="G11" i="6"/>
  <c r="H11" i="6"/>
  <c r="I11" i="6"/>
  <c r="J11" i="6"/>
  <c r="K11" i="6"/>
  <c r="L11" i="6"/>
  <c r="M11" i="6"/>
  <c r="N11" i="6"/>
  <c r="O11" i="6"/>
  <c r="P11" i="6"/>
  <c r="Q11" i="6"/>
  <c r="R11" i="6"/>
  <c r="S11" i="6"/>
  <c r="T11" i="6"/>
  <c r="U11" i="6"/>
  <c r="V11" i="6"/>
  <c r="W11" i="6"/>
  <c r="X11" i="6"/>
  <c r="Y11" i="6"/>
  <c r="Z11" i="6"/>
  <c r="AA11" i="6"/>
  <c r="C16" i="6"/>
  <c r="D16" i="6"/>
  <c r="E16" i="6"/>
  <c r="F16" i="6"/>
  <c r="G16" i="6"/>
  <c r="H16" i="6"/>
  <c r="I16" i="6"/>
  <c r="J16" i="6"/>
  <c r="K16" i="6"/>
  <c r="L16" i="6"/>
  <c r="M16" i="6"/>
  <c r="N16" i="6"/>
  <c r="O16" i="6"/>
  <c r="P16" i="6"/>
  <c r="Q16" i="6"/>
  <c r="R16" i="6"/>
  <c r="S16" i="6"/>
  <c r="T16" i="6"/>
  <c r="U16" i="6"/>
  <c r="V16" i="6"/>
  <c r="F9" i="5"/>
  <c r="AH3" i="14"/>
  <c r="L8" i="14"/>
  <c r="M8" i="14"/>
  <c r="N8" i="14"/>
  <c r="O8" i="14"/>
  <c r="P8" i="14"/>
  <c r="Q8" i="14"/>
  <c r="L9" i="14"/>
  <c r="M9" i="14"/>
  <c r="N9" i="14"/>
  <c r="O9" i="14"/>
  <c r="P9" i="14"/>
  <c r="Q9" i="14"/>
  <c r="M10" i="14"/>
  <c r="N10" i="14"/>
  <c r="O10" i="14"/>
  <c r="P10" i="14"/>
  <c r="Q10" i="14"/>
  <c r="O11" i="14"/>
  <c r="P11" i="14"/>
  <c r="Q11" i="14"/>
  <c r="P12" i="14"/>
  <c r="Q12" i="14"/>
  <c r="AH13" i="14"/>
  <c r="AG16" i="14"/>
  <c r="L21" i="14"/>
  <c r="M21" i="14"/>
  <c r="N21" i="14"/>
  <c r="O21" i="14"/>
  <c r="M22" i="14"/>
  <c r="N22" i="14"/>
  <c r="O22" i="14"/>
  <c r="O23" i="14"/>
  <c r="Y32" i="14"/>
  <c r="AH40" i="14"/>
  <c r="AO3" i="4"/>
  <c r="L8" i="4"/>
  <c r="L20" i="4" s="1"/>
  <c r="M8" i="4"/>
  <c r="M20" i="4" s="1"/>
  <c r="M29" i="4" s="1"/>
  <c r="M31" i="4" s="1"/>
  <c r="N8" i="4"/>
  <c r="N20" i="4" s="1"/>
  <c r="N35" i="4" s="1"/>
  <c r="O8" i="4"/>
  <c r="O20" i="4" s="1"/>
  <c r="O35" i="4" s="1"/>
  <c r="M9" i="4"/>
  <c r="N9" i="4"/>
  <c r="O9" i="4"/>
  <c r="N10" i="4"/>
  <c r="O10" i="4"/>
  <c r="O11" i="4"/>
  <c r="AO13" i="4"/>
  <c r="AN16" i="4"/>
  <c r="AO18" i="4"/>
  <c r="P20" i="4"/>
  <c r="P35" i="4" s="1"/>
  <c r="M21" i="4"/>
  <c r="N21" i="4"/>
  <c r="O21" i="4"/>
  <c r="P21" i="4"/>
  <c r="N22" i="4"/>
  <c r="O22" i="4"/>
  <c r="O37" i="4" s="1"/>
  <c r="O48" i="4" s="1"/>
  <c r="T77" i="3" s="1"/>
  <c r="P22" i="4"/>
  <c r="P37" i="4" s="1"/>
  <c r="P48" i="4" s="1"/>
  <c r="U77" i="3" s="1"/>
  <c r="O23" i="4"/>
  <c r="P23" i="4"/>
  <c r="P24" i="4"/>
  <c r="Q26" i="4"/>
  <c r="R26" i="4"/>
  <c r="S26" i="4"/>
  <c r="T26" i="4"/>
  <c r="AO26" i="4"/>
  <c r="AO33" i="4"/>
  <c r="Q35" i="4"/>
  <c r="R35" i="4"/>
  <c r="S35" i="4"/>
  <c r="T35" i="4"/>
  <c r="M36" i="4"/>
  <c r="N36" i="4"/>
  <c r="O36" i="4"/>
  <c r="P36" i="4"/>
  <c r="Q36" i="4"/>
  <c r="R36" i="4"/>
  <c r="S36" i="4"/>
  <c r="T36" i="4"/>
  <c r="N37" i="4"/>
  <c r="N48" i="4" s="1"/>
  <c r="S77" i="3" s="1"/>
  <c r="Q37" i="4"/>
  <c r="R37" i="4"/>
  <c r="S37" i="4"/>
  <c r="T37" i="4"/>
  <c r="O38" i="4"/>
  <c r="P38" i="4"/>
  <c r="Q38" i="4"/>
  <c r="R38" i="4"/>
  <c r="S38" i="4"/>
  <c r="T38" i="4"/>
  <c r="P39" i="4"/>
  <c r="P49" i="4" s="1"/>
  <c r="U78" i="3" s="1"/>
  <c r="Q39" i="4"/>
  <c r="R39" i="4"/>
  <c r="S39" i="4"/>
  <c r="T39" i="4"/>
  <c r="Q40" i="4"/>
  <c r="R40" i="4"/>
  <c r="S40" i="4"/>
  <c r="T40" i="4"/>
  <c r="Q41" i="4"/>
  <c r="R41" i="4"/>
  <c r="S41" i="4"/>
  <c r="T41" i="4"/>
  <c r="R42" i="4"/>
  <c r="S42" i="4"/>
  <c r="T42" i="4"/>
  <c r="E43" i="4"/>
  <c r="T43" i="4"/>
  <c r="E44" i="4"/>
  <c r="F44" i="4"/>
  <c r="AO45" i="4"/>
  <c r="AN51" i="4"/>
  <c r="R59" i="4"/>
  <c r="S59" i="4"/>
  <c r="T59" i="4"/>
  <c r="T60" i="4"/>
  <c r="W64" i="4"/>
  <c r="AN64" i="4" s="1"/>
  <c r="C9" i="13"/>
  <c r="D9" i="13"/>
  <c r="E9" i="13"/>
  <c r="F9" i="13"/>
  <c r="G9" i="13"/>
  <c r="H9" i="13"/>
  <c r="I9" i="13"/>
  <c r="J9" i="13"/>
  <c r="K9" i="13"/>
  <c r="M9" i="13"/>
  <c r="N9" i="13"/>
  <c r="O9" i="13"/>
  <c r="P9" i="13"/>
  <c r="Q9" i="13"/>
  <c r="R9" i="13"/>
  <c r="S9" i="13"/>
  <c r="C10" i="13"/>
  <c r="D10" i="13"/>
  <c r="E10" i="13"/>
  <c r="F10" i="13"/>
  <c r="G10" i="13"/>
  <c r="H10" i="13"/>
  <c r="I10" i="13"/>
  <c r="J10" i="13"/>
  <c r="K10" i="13"/>
  <c r="L10" i="13"/>
  <c r="M10" i="13"/>
  <c r="N10" i="13"/>
  <c r="O10" i="13"/>
  <c r="P10" i="13"/>
  <c r="Q10" i="13"/>
  <c r="R10" i="13"/>
  <c r="C11" i="13"/>
  <c r="D11" i="13"/>
  <c r="E11" i="13"/>
  <c r="F11" i="13"/>
  <c r="G11" i="13"/>
  <c r="H11" i="13"/>
  <c r="I11" i="13"/>
  <c r="J11" i="13"/>
  <c r="K11" i="13"/>
  <c r="L11" i="13"/>
  <c r="M11" i="13"/>
  <c r="N11" i="13"/>
  <c r="O11" i="13"/>
  <c r="P11" i="13"/>
  <c r="Q11" i="13"/>
  <c r="R11" i="13"/>
  <c r="S11" i="13"/>
  <c r="T11" i="13"/>
  <c r="U11" i="13"/>
  <c r="V11" i="13"/>
  <c r="W11" i="13"/>
  <c r="X11" i="13"/>
  <c r="C13" i="13"/>
  <c r="D13" i="13"/>
  <c r="E13" i="13"/>
  <c r="F13" i="13"/>
  <c r="G13" i="13"/>
  <c r="H13" i="13"/>
  <c r="I13" i="13"/>
  <c r="J13" i="13"/>
  <c r="K13" i="13"/>
  <c r="L13" i="13"/>
  <c r="M13" i="13"/>
  <c r="N13" i="13"/>
  <c r="O13" i="13"/>
  <c r="P13" i="13"/>
  <c r="Q13" i="13"/>
  <c r="R13" i="13"/>
  <c r="C15" i="13"/>
  <c r="D15" i="13"/>
  <c r="E15" i="13"/>
  <c r="F15" i="13"/>
  <c r="G15" i="13"/>
  <c r="H15" i="13"/>
  <c r="I15" i="13"/>
  <c r="J15" i="13"/>
  <c r="L15" i="13"/>
  <c r="M15" i="13"/>
  <c r="N15" i="13"/>
  <c r="O15" i="13"/>
  <c r="P15" i="13"/>
  <c r="Q15" i="13"/>
  <c r="R15" i="13"/>
  <c r="Q18" i="13"/>
  <c r="C46" i="13"/>
  <c r="D46" i="13"/>
  <c r="D26" i="15" s="1"/>
  <c r="D14" i="15" s="1"/>
  <c r="E46" i="13"/>
  <c r="E26" i="15" s="1"/>
  <c r="E14" i="15" s="1"/>
  <c r="F46" i="13"/>
  <c r="F70" i="13" s="1"/>
  <c r="G46" i="13"/>
  <c r="G26" i="15" s="1"/>
  <c r="G14" i="15" s="1"/>
  <c r="H46" i="13"/>
  <c r="H26" i="15" s="1"/>
  <c r="H14" i="15" s="1"/>
  <c r="I46" i="13"/>
  <c r="I26" i="15" s="1"/>
  <c r="I14" i="15" s="1"/>
  <c r="J46" i="13"/>
  <c r="J26" i="15" s="1"/>
  <c r="J14" i="15" s="1"/>
  <c r="K46" i="13"/>
  <c r="K26" i="15" s="1"/>
  <c r="K14" i="15" s="1"/>
  <c r="L46" i="13"/>
  <c r="L26" i="15" s="1"/>
  <c r="L14" i="15" s="1"/>
  <c r="M46" i="13"/>
  <c r="M26" i="15" s="1"/>
  <c r="M14" i="15" s="1"/>
  <c r="N46" i="13"/>
  <c r="N26" i="15" s="1"/>
  <c r="N14" i="15" s="1"/>
  <c r="O46" i="13"/>
  <c r="O26" i="15" s="1"/>
  <c r="O14" i="15" s="1"/>
  <c r="P46" i="13"/>
  <c r="P70" i="13" s="1"/>
  <c r="Q46" i="13"/>
  <c r="R46" i="13"/>
  <c r="R70" i="13" s="1"/>
  <c r="S46" i="13"/>
  <c r="S26" i="15" s="1"/>
  <c r="S14" i="15" s="1"/>
  <c r="T46" i="13"/>
  <c r="T70" i="13" s="1"/>
  <c r="H49" i="13"/>
  <c r="H51" i="13" s="1"/>
  <c r="I49" i="13"/>
  <c r="I51" i="13" s="1"/>
  <c r="J49" i="13"/>
  <c r="J51" i="13" s="1"/>
  <c r="J55" i="13" s="1"/>
  <c r="K49" i="13"/>
  <c r="K51" i="13" s="1"/>
  <c r="K55" i="13" s="1"/>
  <c r="L49" i="13"/>
  <c r="L51" i="13" s="1"/>
  <c r="L55" i="13" s="1"/>
  <c r="M49" i="13"/>
  <c r="M51" i="13" s="1"/>
  <c r="M55" i="13" s="1"/>
  <c r="N49" i="13"/>
  <c r="O49" i="13"/>
  <c r="O51" i="13" s="1"/>
  <c r="O55" i="13" s="1"/>
  <c r="P49" i="13"/>
  <c r="P51" i="13" s="1"/>
  <c r="P55" i="13" s="1"/>
  <c r="C51" i="13"/>
  <c r="C63" i="13" s="1"/>
  <c r="D51" i="13"/>
  <c r="E51" i="13"/>
  <c r="E55" i="13" s="1"/>
  <c r="F51" i="13"/>
  <c r="F55" i="13" s="1"/>
  <c r="G51" i="13"/>
  <c r="G55" i="13" s="1"/>
  <c r="N51" i="13"/>
  <c r="N55" i="13" s="1"/>
  <c r="Q51" i="13"/>
  <c r="R51" i="13"/>
  <c r="R55" i="13" s="1"/>
  <c r="S51" i="13"/>
  <c r="S55" i="13" s="1"/>
  <c r="T51" i="13"/>
  <c r="T55" i="13" s="1"/>
  <c r="U51" i="13"/>
  <c r="U55" i="13" s="1"/>
  <c r="V51" i="13"/>
  <c r="V55" i="13" s="1"/>
  <c r="W51" i="13"/>
  <c r="X51" i="13"/>
  <c r="X55" i="13" s="1"/>
  <c r="Y51" i="13"/>
  <c r="Y55" i="13" s="1"/>
  <c r="Z51" i="13"/>
  <c r="AA51" i="13"/>
  <c r="AA55" i="13" s="1"/>
  <c r="AB51" i="13"/>
  <c r="AB55" i="13"/>
  <c r="AC51" i="13"/>
  <c r="AC55" i="13" s="1"/>
  <c r="C55" i="13"/>
  <c r="Q55" i="13"/>
  <c r="W55" i="13"/>
  <c r="AD55" i="13"/>
  <c r="C67" i="13"/>
  <c r="U70" i="13"/>
  <c r="V70" i="13"/>
  <c r="W70" i="13"/>
  <c r="X70" i="13"/>
  <c r="C9" i="3"/>
  <c r="D9" i="3"/>
  <c r="E9" i="3"/>
  <c r="F9" i="3"/>
  <c r="G9" i="3"/>
  <c r="H9" i="3"/>
  <c r="I9" i="3"/>
  <c r="J9" i="3"/>
  <c r="K9" i="3"/>
  <c r="L9" i="3"/>
  <c r="M9" i="3"/>
  <c r="N9" i="3"/>
  <c r="O9" i="3"/>
  <c r="P9" i="3"/>
  <c r="Q9" i="3"/>
  <c r="R9" i="3"/>
  <c r="S9" i="3"/>
  <c r="T9" i="3"/>
  <c r="U9" i="3"/>
  <c r="V9" i="3"/>
  <c r="W9" i="3"/>
  <c r="X9" i="3"/>
  <c r="Y9" i="3"/>
  <c r="Z9" i="3"/>
  <c r="AA9" i="3"/>
  <c r="AB9" i="3"/>
  <c r="AC9" i="3"/>
  <c r="C10" i="3"/>
  <c r="D10" i="3"/>
  <c r="E10" i="3"/>
  <c r="F10" i="3"/>
  <c r="G10" i="3"/>
  <c r="H10" i="3"/>
  <c r="I10" i="3"/>
  <c r="J10" i="3"/>
  <c r="K10" i="3"/>
  <c r="L10" i="3"/>
  <c r="M10" i="3"/>
  <c r="N10" i="3"/>
  <c r="O10" i="3"/>
  <c r="P10" i="3"/>
  <c r="Q10" i="3"/>
  <c r="T10" i="3"/>
  <c r="U10" i="3"/>
  <c r="V10" i="3"/>
  <c r="W10" i="3"/>
  <c r="X10" i="3"/>
  <c r="Y10" i="3"/>
  <c r="Z10" i="3"/>
  <c r="AA10" i="3"/>
  <c r="AB10" i="3"/>
  <c r="AC10" i="3"/>
  <c r="T11" i="3"/>
  <c r="U11" i="3"/>
  <c r="V11" i="3"/>
  <c r="W11" i="3"/>
  <c r="X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C14" i="3"/>
  <c r="D14" i="3"/>
  <c r="E14" i="3"/>
  <c r="F14" i="3"/>
  <c r="G14" i="3"/>
  <c r="H14" i="3"/>
  <c r="I14" i="3"/>
  <c r="J14" i="3"/>
  <c r="K14" i="3"/>
  <c r="L14" i="3"/>
  <c r="M14" i="3"/>
  <c r="N14" i="3"/>
  <c r="O14" i="3"/>
  <c r="Q14" i="3"/>
  <c r="T14" i="3"/>
  <c r="U14" i="3"/>
  <c r="V14" i="3"/>
  <c r="W14" i="3"/>
  <c r="X14" i="3"/>
  <c r="Y14" i="3"/>
  <c r="Z14" i="3"/>
  <c r="AA14" i="3"/>
  <c r="AB14" i="3"/>
  <c r="AC14"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C20" i="3"/>
  <c r="D20" i="3"/>
  <c r="E20" i="3"/>
  <c r="F20" i="3"/>
  <c r="G22" i="3"/>
  <c r="H22" i="3"/>
  <c r="I22" i="3"/>
  <c r="J22" i="3"/>
  <c r="K22" i="3"/>
  <c r="L22" i="3"/>
  <c r="M22" i="3"/>
  <c r="N22" i="3"/>
  <c r="O22" i="3"/>
  <c r="P22" i="3"/>
  <c r="Q22" i="3"/>
  <c r="R22" i="3"/>
  <c r="S22" i="3"/>
  <c r="T22" i="3"/>
  <c r="U22" i="3"/>
  <c r="V22" i="3"/>
  <c r="W22" i="3"/>
  <c r="X22" i="3"/>
  <c r="Y22" i="3"/>
  <c r="Z22" i="3"/>
  <c r="AA22" i="3"/>
  <c r="AB22" i="3"/>
  <c r="AC22" i="3"/>
  <c r="C25" i="3"/>
  <c r="D25" i="3"/>
  <c r="E25" i="3"/>
  <c r="F25" i="3"/>
  <c r="G25" i="3"/>
  <c r="H25" i="3"/>
  <c r="I25" i="3"/>
  <c r="J25" i="3"/>
  <c r="K25" i="3"/>
  <c r="L25" i="3"/>
  <c r="M25" i="3"/>
  <c r="N25" i="3"/>
  <c r="O25" i="3"/>
  <c r="Q25" i="3"/>
  <c r="T25" i="3"/>
  <c r="U25" i="3"/>
  <c r="V25" i="3"/>
  <c r="W25" i="3"/>
  <c r="X25" i="3"/>
  <c r="Y25" i="3"/>
  <c r="Z25" i="3"/>
  <c r="AA25" i="3"/>
  <c r="AB25" i="3"/>
  <c r="AC25" i="3"/>
  <c r="C27" i="3"/>
  <c r="D27" i="3"/>
  <c r="E27" i="3"/>
  <c r="C34" i="3"/>
  <c r="D34" i="3"/>
  <c r="E34" i="3"/>
  <c r="F34" i="3"/>
  <c r="G34" i="3"/>
  <c r="H34" i="3"/>
  <c r="I34" i="3"/>
  <c r="J34" i="3"/>
  <c r="K34" i="3"/>
  <c r="L34" i="3"/>
  <c r="M34" i="3"/>
  <c r="N34" i="3"/>
  <c r="O34" i="3"/>
  <c r="P34" i="3"/>
  <c r="Q34" i="3"/>
  <c r="R34" i="3"/>
  <c r="S34" i="3"/>
  <c r="T34" i="3"/>
  <c r="U34" i="3"/>
  <c r="V34" i="3"/>
  <c r="W34" i="3"/>
  <c r="X34" i="3"/>
  <c r="AL60" i="3"/>
  <c r="AG72" i="4" s="1"/>
  <c r="D71" i="3"/>
  <c r="D101" i="3" s="1"/>
  <c r="E71" i="3"/>
  <c r="E101" i="3" s="1"/>
  <c r="F71" i="3"/>
  <c r="G71" i="3"/>
  <c r="H71" i="3"/>
  <c r="I32" i="10" s="1"/>
  <c r="I15" i="10" s="1"/>
  <c r="I40" i="17" s="1"/>
  <c r="I71" i="3"/>
  <c r="J32" i="10" s="1"/>
  <c r="J15" i="10" s="1"/>
  <c r="J40" i="17" s="1"/>
  <c r="J71" i="3"/>
  <c r="K32" i="10" s="1"/>
  <c r="K15" i="10" s="1"/>
  <c r="K71" i="3"/>
  <c r="L32" i="10" s="1"/>
  <c r="L15" i="10" s="1"/>
  <c r="L71" i="3"/>
  <c r="M32" i="10" s="1"/>
  <c r="M15" i="10" s="1"/>
  <c r="M71" i="3"/>
  <c r="N71" i="3"/>
  <c r="O32" i="10" s="1"/>
  <c r="O15" i="10" s="1"/>
  <c r="O71" i="3"/>
  <c r="O101" i="3" s="1"/>
  <c r="P71" i="3"/>
  <c r="Q32" i="10" s="1"/>
  <c r="Q15" i="10" s="1"/>
  <c r="Q71" i="3"/>
  <c r="Q101" i="3" s="1"/>
  <c r="R71" i="3"/>
  <c r="S32" i="10" s="1"/>
  <c r="S15" i="10" s="1"/>
  <c r="S71" i="3"/>
  <c r="T32" i="10" s="1"/>
  <c r="T15" i="10" s="1"/>
  <c r="T71" i="3"/>
  <c r="U32" i="10" s="1"/>
  <c r="U15" i="10" s="1"/>
  <c r="U71" i="3"/>
  <c r="V71" i="3"/>
  <c r="W32" i="10" s="1"/>
  <c r="W15" i="10" s="1"/>
  <c r="W71" i="3"/>
  <c r="X32" i="10" s="1"/>
  <c r="X15" i="10" s="1"/>
  <c r="X71" i="3"/>
  <c r="Y32" i="10" s="1"/>
  <c r="Y15" i="10" s="1"/>
  <c r="Y71" i="3"/>
  <c r="Z32" i="10" s="1"/>
  <c r="Z15" i="10" s="1"/>
  <c r="H74" i="3"/>
  <c r="H82" i="3" s="1"/>
  <c r="I74" i="3"/>
  <c r="J74" i="3"/>
  <c r="K74" i="3"/>
  <c r="L74" i="3"/>
  <c r="M74" i="3"/>
  <c r="N74" i="3"/>
  <c r="O74" i="3"/>
  <c r="P74" i="3"/>
  <c r="I76" i="3"/>
  <c r="J76" i="3"/>
  <c r="K76" i="3"/>
  <c r="L76" i="3"/>
  <c r="M76" i="3"/>
  <c r="N76" i="3"/>
  <c r="O76" i="3"/>
  <c r="P76" i="3"/>
  <c r="Q76" i="3"/>
  <c r="R76" i="3"/>
  <c r="M80" i="3"/>
  <c r="N80" i="3"/>
  <c r="O80" i="3"/>
  <c r="P80" i="3"/>
  <c r="Q80" i="3"/>
  <c r="R80" i="3"/>
  <c r="S80" i="3"/>
  <c r="T80" i="3"/>
  <c r="U80" i="3"/>
  <c r="C82" i="3"/>
  <c r="D82" i="3"/>
  <c r="D86" i="3" s="1"/>
  <c r="E82" i="3"/>
  <c r="G94" i="3" s="1"/>
  <c r="F82" i="3"/>
  <c r="F86" i="3" s="1"/>
  <c r="G82" i="3"/>
  <c r="V82" i="3"/>
  <c r="V86" i="3" s="1"/>
  <c r="W82" i="3"/>
  <c r="W86" i="3" s="1"/>
  <c r="X82" i="3"/>
  <c r="X86" i="3" s="1"/>
  <c r="Y82" i="3"/>
  <c r="Y86" i="3" s="1"/>
  <c r="Z82" i="3"/>
  <c r="Z86" i="3" s="1"/>
  <c r="AA82" i="3"/>
  <c r="AA86" i="3" s="1"/>
  <c r="AB82" i="3"/>
  <c r="AB86" i="3" s="1"/>
  <c r="AC82" i="3"/>
  <c r="C86" i="3"/>
  <c r="E86" i="3"/>
  <c r="G86" i="3"/>
  <c r="C93" i="3"/>
  <c r="C94" i="3"/>
  <c r="C101" i="3"/>
  <c r="V101" i="3"/>
  <c r="Z101" i="3"/>
  <c r="AA101" i="3"/>
  <c r="AB101" i="3"/>
  <c r="AC101" i="3"/>
  <c r="C8" i="12"/>
  <c r="D8" i="12"/>
  <c r="E8" i="12"/>
  <c r="E12" i="12" s="1"/>
  <c r="E14" i="12" s="1"/>
  <c r="F8" i="12"/>
  <c r="G8" i="12"/>
  <c r="H8" i="12"/>
  <c r="I8" i="12"/>
  <c r="I12" i="12" s="1"/>
  <c r="I14" i="12" s="1"/>
  <c r="J8" i="12"/>
  <c r="K8" i="12"/>
  <c r="M8" i="12"/>
  <c r="N8" i="12"/>
  <c r="N12" i="12" s="1"/>
  <c r="N14" i="12" s="1"/>
  <c r="O8" i="12"/>
  <c r="P8" i="12"/>
  <c r="Q8" i="12"/>
  <c r="R8" i="12"/>
  <c r="R12" i="12" s="1"/>
  <c r="R14" i="12" s="1"/>
  <c r="S8" i="12"/>
  <c r="C9" i="12"/>
  <c r="D9" i="12"/>
  <c r="E9" i="12"/>
  <c r="F9" i="12"/>
  <c r="G9" i="12"/>
  <c r="H9" i="12"/>
  <c r="I9" i="12"/>
  <c r="J9" i="12"/>
  <c r="K9" i="12"/>
  <c r="L9" i="12"/>
  <c r="M9" i="12"/>
  <c r="N9" i="12"/>
  <c r="O9" i="12"/>
  <c r="P9" i="12"/>
  <c r="Q9" i="12"/>
  <c r="R9" i="12"/>
  <c r="C10" i="12"/>
  <c r="D10" i="12"/>
  <c r="E10" i="12"/>
  <c r="F10" i="12"/>
  <c r="G10" i="12"/>
  <c r="H10" i="12"/>
  <c r="I10" i="12"/>
  <c r="J10" i="12"/>
  <c r="K10" i="12"/>
  <c r="L10" i="12"/>
  <c r="M10" i="12"/>
  <c r="N10" i="12"/>
  <c r="O10" i="12"/>
  <c r="P10" i="12"/>
  <c r="Q10" i="12"/>
  <c r="R10" i="12"/>
  <c r="S10" i="12"/>
  <c r="T10" i="12"/>
  <c r="U10" i="12"/>
  <c r="V10" i="12"/>
  <c r="W10" i="12"/>
  <c r="X10" i="12"/>
  <c r="C11" i="12"/>
  <c r="D11" i="12"/>
  <c r="E11" i="12"/>
  <c r="F11" i="12"/>
  <c r="G11" i="12"/>
  <c r="H11" i="12"/>
  <c r="I11" i="12"/>
  <c r="J11" i="12"/>
  <c r="K11" i="12"/>
  <c r="L11" i="12"/>
  <c r="M11" i="12"/>
  <c r="N11" i="12"/>
  <c r="O11" i="12"/>
  <c r="O12" i="12" s="1"/>
  <c r="O14" i="12" s="1"/>
  <c r="P11" i="12"/>
  <c r="Q11" i="12"/>
  <c r="R11" i="12"/>
  <c r="C12" i="12"/>
  <c r="D12" i="12"/>
  <c r="F12" i="12"/>
  <c r="G12" i="12"/>
  <c r="G14" i="12" s="1"/>
  <c r="H12" i="12"/>
  <c r="J12" i="12"/>
  <c r="K12" i="12"/>
  <c r="K14" i="12" s="1"/>
  <c r="P12" i="12"/>
  <c r="C13" i="12"/>
  <c r="D13" i="12"/>
  <c r="D14" i="12" s="1"/>
  <c r="E13" i="12"/>
  <c r="F13" i="12"/>
  <c r="F14" i="12" s="1"/>
  <c r="G13" i="12"/>
  <c r="H13" i="12"/>
  <c r="H14" i="12" s="1"/>
  <c r="I13" i="12"/>
  <c r="J13" i="12"/>
  <c r="J14" i="12"/>
  <c r="K13" i="12"/>
  <c r="L13" i="12"/>
  <c r="M13" i="12"/>
  <c r="N13" i="12"/>
  <c r="O13" i="12"/>
  <c r="P13" i="12"/>
  <c r="Q13" i="12"/>
  <c r="R13" i="12"/>
  <c r="S13" i="12"/>
  <c r="C8" i="2"/>
  <c r="D8" i="2"/>
  <c r="E8" i="2"/>
  <c r="F8" i="2"/>
  <c r="G8" i="2"/>
  <c r="H8" i="2"/>
  <c r="H13" i="2" s="1"/>
  <c r="H15" i="2" s="1"/>
  <c r="I8" i="2"/>
  <c r="J8" i="2"/>
  <c r="K8" i="2"/>
  <c r="L8" i="2"/>
  <c r="M8" i="2"/>
  <c r="N8" i="2"/>
  <c r="O8" i="2"/>
  <c r="P8" i="2"/>
  <c r="P13" i="2" s="1"/>
  <c r="P15" i="2" s="1"/>
  <c r="Q8" i="2"/>
  <c r="R8" i="2"/>
  <c r="S8" i="2"/>
  <c r="T8" i="2"/>
  <c r="U8" i="2"/>
  <c r="V8" i="2"/>
  <c r="W8" i="2"/>
  <c r="X8" i="2"/>
  <c r="Y8" i="2"/>
  <c r="Z8" i="2"/>
  <c r="AA8" i="2"/>
  <c r="AB8" i="2"/>
  <c r="AC8" i="2"/>
  <c r="C9" i="2"/>
  <c r="D9" i="2"/>
  <c r="E9" i="2"/>
  <c r="F9" i="2"/>
  <c r="G9" i="2"/>
  <c r="H9" i="2"/>
  <c r="I9" i="2"/>
  <c r="J9" i="2"/>
  <c r="K9" i="2"/>
  <c r="L9" i="2"/>
  <c r="M9" i="2"/>
  <c r="N9" i="2"/>
  <c r="O9" i="2"/>
  <c r="P9" i="2"/>
  <c r="Q9" i="2"/>
  <c r="Q13" i="2" s="1"/>
  <c r="R9" i="2"/>
  <c r="U9" i="2"/>
  <c r="V9" i="2"/>
  <c r="W9" i="2"/>
  <c r="X9" i="2"/>
  <c r="Y9" i="2"/>
  <c r="Z9" i="2"/>
  <c r="AB9" i="2"/>
  <c r="AC9" i="2"/>
  <c r="U10" i="2"/>
  <c r="V10" i="2"/>
  <c r="W10" i="2"/>
  <c r="X10" i="2"/>
  <c r="Y10" i="2"/>
  <c r="Z10" i="2"/>
  <c r="AA10" i="2"/>
  <c r="AB10" i="2"/>
  <c r="AC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C12" i="2"/>
  <c r="D12" i="2"/>
  <c r="E12" i="2"/>
  <c r="F12" i="2"/>
  <c r="G12" i="2"/>
  <c r="H12" i="2"/>
  <c r="I12" i="2"/>
  <c r="J12" i="2"/>
  <c r="K12" i="2"/>
  <c r="L12" i="2"/>
  <c r="M12" i="2"/>
  <c r="N12" i="2"/>
  <c r="O12" i="2"/>
  <c r="P12" i="2"/>
  <c r="R12" i="2"/>
  <c r="U12" i="2"/>
  <c r="V12" i="2"/>
  <c r="W12" i="2"/>
  <c r="X12" i="2"/>
  <c r="Y12" i="2"/>
  <c r="Z12" i="2"/>
  <c r="AA12" i="2"/>
  <c r="AB12" i="2"/>
  <c r="AC12" i="2"/>
  <c r="C13" i="2"/>
  <c r="L13" i="2"/>
  <c r="L15" i="2" s="1"/>
  <c r="K13" i="3" s="1"/>
  <c r="C14" i="2"/>
  <c r="D14" i="2"/>
  <c r="E14" i="2"/>
  <c r="F14" i="2"/>
  <c r="G14" i="2"/>
  <c r="H14" i="2"/>
  <c r="I14" i="2"/>
  <c r="J14" i="2"/>
  <c r="K14" i="2"/>
  <c r="L14" i="2"/>
  <c r="M14" i="2"/>
  <c r="N14" i="2"/>
  <c r="O14" i="2"/>
  <c r="P14" i="2"/>
  <c r="Q14" i="2"/>
  <c r="R14" i="2"/>
  <c r="S14" i="2"/>
  <c r="T14" i="2"/>
  <c r="U14" i="2"/>
  <c r="V14" i="2"/>
  <c r="W14" i="2"/>
  <c r="X14" i="2"/>
  <c r="Y14" i="2"/>
  <c r="Z14" i="2"/>
  <c r="AA14" i="2"/>
  <c r="AB14" i="2"/>
  <c r="AC14" i="2"/>
  <c r="C18" i="2"/>
  <c r="D18" i="2"/>
  <c r="E18" i="2"/>
  <c r="F18" i="2"/>
  <c r="G18" i="2"/>
  <c r="C21" i="2"/>
  <c r="D21" i="2"/>
  <c r="E21" i="2"/>
  <c r="F21" i="2"/>
  <c r="G21" i="2"/>
  <c r="H21" i="2"/>
  <c r="I21" i="2"/>
  <c r="J21" i="2"/>
  <c r="K21" i="2"/>
  <c r="L21" i="2"/>
  <c r="M21" i="2"/>
  <c r="N21" i="2"/>
  <c r="O21" i="2"/>
  <c r="P21" i="2"/>
  <c r="R21" i="2"/>
  <c r="R22" i="2" s="1"/>
  <c r="U21" i="2"/>
  <c r="V21" i="2"/>
  <c r="W21" i="2"/>
  <c r="X21" i="2"/>
  <c r="Y21" i="2"/>
  <c r="Z21" i="2"/>
  <c r="AA21" i="2"/>
  <c r="AB21" i="2"/>
  <c r="AC21"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U6" i="11"/>
  <c r="T13" i="12" s="1"/>
  <c r="R7" i="11"/>
  <c r="U7" i="11"/>
  <c r="V7" i="11" s="1"/>
  <c r="R8" i="11"/>
  <c r="U8" i="11"/>
  <c r="V8" i="11" s="1"/>
  <c r="L11" i="11"/>
  <c r="S13" i="13"/>
  <c r="T13" i="13"/>
  <c r="M18" i="11"/>
  <c r="C19" i="11"/>
  <c r="D19" i="11"/>
  <c r="E19" i="11"/>
  <c r="E20" i="11" s="1"/>
  <c r="F19" i="11"/>
  <c r="F20" i="11" s="1"/>
  <c r="G19" i="11"/>
  <c r="G20" i="11" s="1"/>
  <c r="H19" i="11"/>
  <c r="H20" i="11" s="1"/>
  <c r="I19" i="11"/>
  <c r="I20" i="11"/>
  <c r="J19" i="11"/>
  <c r="K19" i="11"/>
  <c r="K20" i="11" s="1"/>
  <c r="L19" i="11"/>
  <c r="M19" i="11"/>
  <c r="N19" i="11"/>
  <c r="O19" i="11"/>
  <c r="O20" i="11" s="1"/>
  <c r="P19" i="11"/>
  <c r="Q19" i="11"/>
  <c r="Q20" i="11" s="1"/>
  <c r="R19" i="11"/>
  <c r="R20" i="11" s="1"/>
  <c r="S19" i="11"/>
  <c r="S20" i="11"/>
  <c r="T19" i="11"/>
  <c r="D20" i="11"/>
  <c r="J20" i="11"/>
  <c r="L20" i="11"/>
  <c r="N20" i="11"/>
  <c r="P20" i="11"/>
  <c r="C29" i="11"/>
  <c r="D29" i="11"/>
  <c r="E29" i="11"/>
  <c r="F29" i="11"/>
  <c r="G29" i="11"/>
  <c r="H29" i="11"/>
  <c r="I29" i="11"/>
  <c r="J29" i="11"/>
  <c r="K29" i="11"/>
  <c r="L29" i="11"/>
  <c r="M29" i="11"/>
  <c r="N29" i="11"/>
  <c r="O29" i="11"/>
  <c r="P29" i="11"/>
  <c r="Q29" i="11"/>
  <c r="R29" i="11"/>
  <c r="S29" i="11"/>
  <c r="T29" i="11"/>
  <c r="C31" i="11"/>
  <c r="D31" i="11"/>
  <c r="C18" i="13" s="1"/>
  <c r="E31" i="11"/>
  <c r="D18" i="13" s="1"/>
  <c r="F31" i="11"/>
  <c r="E18" i="13" s="1"/>
  <c r="G31" i="11"/>
  <c r="F18" i="13" s="1"/>
  <c r="H31" i="11"/>
  <c r="G18" i="13" s="1"/>
  <c r="I31" i="11"/>
  <c r="H18" i="13" s="1"/>
  <c r="J31" i="11"/>
  <c r="I18" i="13" s="1"/>
  <c r="K31" i="11"/>
  <c r="J18" i="13" s="1"/>
  <c r="L31" i="11"/>
  <c r="K18" i="13" s="1"/>
  <c r="M31" i="11"/>
  <c r="L18" i="13" s="1"/>
  <c r="N31" i="11"/>
  <c r="M18" i="13" s="1"/>
  <c r="O31" i="11"/>
  <c r="N18" i="13" s="1"/>
  <c r="P31" i="11"/>
  <c r="O18" i="13" s="1"/>
  <c r="Q31" i="11"/>
  <c r="P18" i="13" s="1"/>
  <c r="S31" i="11"/>
  <c r="R18" i="13" s="1"/>
  <c r="T31" i="11"/>
  <c r="S18" i="13" s="1"/>
  <c r="T16" i="16"/>
  <c r="U14" i="1"/>
  <c r="T9" i="2" s="1"/>
  <c r="T15" i="1"/>
  <c r="R11" i="3" s="1"/>
  <c r="U15" i="1"/>
  <c r="S11" i="3" s="1"/>
  <c r="R18" i="1"/>
  <c r="T18" i="1"/>
  <c r="R25" i="3" s="1"/>
  <c r="U18" i="1"/>
  <c r="S14" i="3"/>
  <c r="P19" i="1"/>
  <c r="P21" i="1"/>
  <c r="P22" i="1" s="1"/>
  <c r="S20" i="1"/>
  <c r="Z20" i="1"/>
  <c r="D21" i="1"/>
  <c r="E21" i="1"/>
  <c r="E22" i="1" s="1"/>
  <c r="F21" i="1"/>
  <c r="F22" i="1" s="1"/>
  <c r="G21" i="1"/>
  <c r="H21" i="1"/>
  <c r="H22" i="1" s="1"/>
  <c r="I21" i="1"/>
  <c r="I22" i="1" s="1"/>
  <c r="J21" i="1"/>
  <c r="J22" i="1" s="1"/>
  <c r="K21" i="1"/>
  <c r="L21" i="1"/>
  <c r="L22" i="1"/>
  <c r="M21" i="1"/>
  <c r="N21" i="1"/>
  <c r="N22" i="1" s="1"/>
  <c r="O21" i="1"/>
  <c r="Q21" i="1"/>
  <c r="Q22" i="1" s="1"/>
  <c r="R21" i="1"/>
  <c r="R22" i="1" s="1"/>
  <c r="S21" i="1"/>
  <c r="S22" i="1" s="1"/>
  <c r="V21" i="1"/>
  <c r="V22" i="1" s="1"/>
  <c r="W21" i="1"/>
  <c r="W22" i="1" s="1"/>
  <c r="X21" i="1"/>
  <c r="X22" i="1" s="1"/>
  <c r="Y21" i="1"/>
  <c r="Y22" i="1" s="1"/>
  <c r="Z21" i="1"/>
  <c r="Z22" i="1" s="1"/>
  <c r="AA21" i="1"/>
  <c r="AA22" i="1" s="1"/>
  <c r="AB21" i="1"/>
  <c r="AB22" i="1" s="1"/>
  <c r="AC21" i="1"/>
  <c r="AC22" i="1" s="1"/>
  <c r="AD21" i="1"/>
  <c r="AD22" i="1" s="1"/>
  <c r="AE21" i="1"/>
  <c r="AE22" i="1" s="1"/>
  <c r="G22" i="1"/>
  <c r="K22" i="1"/>
  <c r="M22" i="1"/>
  <c r="O22" i="1"/>
  <c r="H18" i="2"/>
  <c r="I28" i="1"/>
  <c r="H17" i="36" s="1"/>
  <c r="J28" i="1"/>
  <c r="I17" i="36" s="1"/>
  <c r="K28" i="1"/>
  <c r="L28" i="1"/>
  <c r="M28" i="1"/>
  <c r="L17" i="36" s="1"/>
  <c r="N28" i="1"/>
  <c r="M17" i="36" s="1"/>
  <c r="O28" i="1"/>
  <c r="N17" i="36" s="1"/>
  <c r="N20" i="3"/>
  <c r="P28" i="1"/>
  <c r="O17" i="36" s="1"/>
  <c r="Q28" i="1"/>
  <c r="R28" i="1"/>
  <c r="Q17" i="36" s="1"/>
  <c r="S28" i="1"/>
  <c r="T28" i="1"/>
  <c r="S17" i="36" s="1"/>
  <c r="U28" i="1"/>
  <c r="V28" i="1"/>
  <c r="U17" i="36" s="1"/>
  <c r="W28" i="1"/>
  <c r="V17" i="36" s="1"/>
  <c r="X28" i="1"/>
  <c r="W17" i="36" s="1"/>
  <c r="Y28" i="1"/>
  <c r="X17" i="36" s="1"/>
  <c r="Z28" i="1"/>
  <c r="Y17" i="36" s="1"/>
  <c r="AA28" i="1"/>
  <c r="Z17" i="36" s="1"/>
  <c r="AA36" i="8"/>
  <c r="AB20" i="3"/>
  <c r="AD28" i="1"/>
  <c r="AE28" i="1"/>
  <c r="Y32" i="1"/>
  <c r="Y38" i="1" s="1"/>
  <c r="Y35" i="1"/>
  <c r="X9" i="9"/>
  <c r="D38" i="1"/>
  <c r="C20" i="2"/>
  <c r="E38" i="1"/>
  <c r="F38" i="1"/>
  <c r="G38" i="1"/>
  <c r="E23" i="3" s="1"/>
  <c r="H38" i="1"/>
  <c r="I38" i="1"/>
  <c r="J38" i="1"/>
  <c r="K38" i="1"/>
  <c r="I23" i="3" s="1"/>
  <c r="L38" i="1"/>
  <c r="J23" i="3" s="1"/>
  <c r="M38" i="1"/>
  <c r="N38" i="1"/>
  <c r="O38" i="1"/>
  <c r="M23" i="3" s="1"/>
  <c r="P38" i="1"/>
  <c r="Q38" i="1"/>
  <c r="R38" i="1"/>
  <c r="S38" i="1"/>
  <c r="Q23" i="3" s="1"/>
  <c r="T38" i="1"/>
  <c r="R23" i="3" s="1"/>
  <c r="U38" i="1"/>
  <c r="V38" i="1"/>
  <c r="W38" i="1"/>
  <c r="U23" i="3" s="1"/>
  <c r="X38" i="1"/>
  <c r="Z38" i="1"/>
  <c r="Y23" i="3"/>
  <c r="AB38" i="1"/>
  <c r="Z23" i="3" s="1"/>
  <c r="AC38" i="1"/>
  <c r="AB20" i="2" s="1"/>
  <c r="AD38" i="1"/>
  <c r="AB23" i="3" s="1"/>
  <c r="AE38" i="1"/>
  <c r="AD20" i="2" s="1"/>
  <c r="W16" i="6"/>
  <c r="Y43" i="1"/>
  <c r="D46" i="1"/>
  <c r="C18" i="9" s="1"/>
  <c r="E46" i="1"/>
  <c r="D18" i="9" s="1"/>
  <c r="F46" i="1"/>
  <c r="E18" i="9" s="1"/>
  <c r="G46" i="1"/>
  <c r="F18" i="9"/>
  <c r="H46" i="1"/>
  <c r="I46" i="1"/>
  <c r="H18" i="9" s="1"/>
  <c r="J46" i="1"/>
  <c r="K46" i="1"/>
  <c r="J28" i="8" s="1"/>
  <c r="L46" i="1"/>
  <c r="M46" i="1"/>
  <c r="I8" i="6" s="1"/>
  <c r="N46" i="1"/>
  <c r="O46" i="1"/>
  <c r="N28" i="8" s="1"/>
  <c r="P46" i="1"/>
  <c r="Q46" i="1"/>
  <c r="P50" i="17" s="1"/>
  <c r="R46" i="1"/>
  <c r="S46" i="1"/>
  <c r="R18" i="9" s="1"/>
  <c r="T46" i="1"/>
  <c r="S28" i="8" s="1"/>
  <c r="U46" i="1"/>
  <c r="T28" i="8" s="1"/>
  <c r="V46" i="1"/>
  <c r="W46" i="1"/>
  <c r="V27" i="17" s="1"/>
  <c r="X46" i="1"/>
  <c r="W50" i="17" s="1"/>
  <c r="Y46" i="1"/>
  <c r="Z46" i="1"/>
  <c r="Z50" i="17"/>
  <c r="AA18" i="9"/>
  <c r="AD46" i="1"/>
  <c r="AE46" i="1"/>
  <c r="J24" i="15"/>
  <c r="J12" i="15" s="1"/>
  <c r="J12" i="13"/>
  <c r="M34" i="17"/>
  <c r="L34" i="17"/>
  <c r="J34" i="17"/>
  <c r="U16" i="16"/>
  <c r="T25" i="16"/>
  <c r="T9" i="16" s="1"/>
  <c r="T24" i="16"/>
  <c r="S15" i="13"/>
  <c r="T9" i="13"/>
  <c r="T8" i="12"/>
  <c r="T20" i="11"/>
  <c r="E8" i="6"/>
  <c r="D50" i="17"/>
  <c r="Y27" i="3"/>
  <c r="X20" i="3"/>
  <c r="V36" i="8"/>
  <c r="V10" i="8" s="1"/>
  <c r="V11" i="17" s="1"/>
  <c r="N36" i="8"/>
  <c r="N10" i="8" s="1"/>
  <c r="N11" i="17" s="1"/>
  <c r="M27" i="3"/>
  <c r="J36" i="8"/>
  <c r="J10" i="8" s="1"/>
  <c r="J11" i="17" s="1"/>
  <c r="I27" i="3"/>
  <c r="S25" i="3"/>
  <c r="P14" i="3"/>
  <c r="P25" i="3"/>
  <c r="T14" i="1"/>
  <c r="U31" i="11"/>
  <c r="T18" i="13" s="1"/>
  <c r="S22" i="15"/>
  <c r="S21" i="15"/>
  <c r="S10" i="13"/>
  <c r="Q21" i="2"/>
  <c r="S20" i="2"/>
  <c r="W18" i="2"/>
  <c r="O18" i="2"/>
  <c r="K18" i="2"/>
  <c r="Q12" i="2"/>
  <c r="S10" i="2"/>
  <c r="S11" i="12"/>
  <c r="S9" i="12"/>
  <c r="AA28" i="8"/>
  <c r="Y27" i="17"/>
  <c r="Y50" i="17"/>
  <c r="Y28" i="8"/>
  <c r="Y18" i="9"/>
  <c r="V8" i="6"/>
  <c r="W27" i="17"/>
  <c r="T8" i="6"/>
  <c r="U27" i="17"/>
  <c r="U50" i="17"/>
  <c r="U28" i="8"/>
  <c r="U18" i="9"/>
  <c r="R8" i="6"/>
  <c r="S27" i="17"/>
  <c r="Q18" i="9"/>
  <c r="O27" i="17"/>
  <c r="O50" i="17"/>
  <c r="O28" i="8"/>
  <c r="O18" i="9"/>
  <c r="L8" i="6"/>
  <c r="M27" i="17"/>
  <c r="M50" i="17"/>
  <c r="M28" i="8"/>
  <c r="M18" i="9"/>
  <c r="J8" i="6"/>
  <c r="K27" i="17"/>
  <c r="K50" i="17"/>
  <c r="K28" i="8"/>
  <c r="K18" i="9"/>
  <c r="H8" i="6"/>
  <c r="I27" i="17"/>
  <c r="I50" i="17"/>
  <c r="I28" i="8"/>
  <c r="I18" i="9"/>
  <c r="F8" i="6"/>
  <c r="G27" i="17"/>
  <c r="G50" i="17"/>
  <c r="G28" i="8"/>
  <c r="G18" i="9"/>
  <c r="D8" i="6"/>
  <c r="C50" i="17"/>
  <c r="U10" i="6"/>
  <c r="Y36" i="8"/>
  <c r="Y10" i="8" s="1"/>
  <c r="Y20" i="3"/>
  <c r="U36" i="8"/>
  <c r="U10" i="8" s="1"/>
  <c r="T27" i="3"/>
  <c r="U20" i="3"/>
  <c r="R27" i="3"/>
  <c r="Q36" i="8"/>
  <c r="Q10" i="8" s="1"/>
  <c r="P27" i="3"/>
  <c r="Q20" i="3"/>
  <c r="M36" i="8"/>
  <c r="M10" i="8" s="1"/>
  <c r="J27" i="3"/>
  <c r="I20" i="3"/>
  <c r="T26" i="10"/>
  <c r="T10" i="10" s="1"/>
  <c r="T34" i="17" s="1"/>
  <c r="T22" i="15"/>
  <c r="T21" i="15"/>
  <c r="T10" i="13"/>
  <c r="L24" i="16"/>
  <c r="L8" i="16" s="1"/>
  <c r="K15" i="13"/>
  <c r="L9" i="13"/>
  <c r="T21" i="2"/>
  <c r="Z20" i="2"/>
  <c r="V20" i="2"/>
  <c r="V22" i="2" s="1"/>
  <c r="R20" i="2"/>
  <c r="N20" i="2"/>
  <c r="J20" i="2"/>
  <c r="F20" i="2"/>
  <c r="V18" i="2"/>
  <c r="T18" i="2"/>
  <c r="R18" i="2"/>
  <c r="T12" i="2"/>
  <c r="T10" i="2"/>
  <c r="T11" i="12"/>
  <c r="T9" i="12"/>
  <c r="L8" i="12"/>
  <c r="L12" i="12" s="1"/>
  <c r="L14" i="12" s="1"/>
  <c r="Y34" i="3"/>
  <c r="T10" i="15"/>
  <c r="S10" i="15"/>
  <c r="S26" i="10"/>
  <c r="S10" i="10" s="1"/>
  <c r="S34" i="17" s="1"/>
  <c r="R10" i="3"/>
  <c r="S9" i="2"/>
  <c r="N37" i="8"/>
  <c r="X16" i="6"/>
  <c r="Z34" i="3"/>
  <c r="W31" i="11"/>
  <c r="V18" i="13" s="1"/>
  <c r="V31" i="11"/>
  <c r="U18" i="13" s="1"/>
  <c r="G12" i="18"/>
  <c r="E53" i="18"/>
  <c r="AD36" i="8"/>
  <c r="AD10" i="8" s="1"/>
  <c r="Z20" i="3"/>
  <c r="AA18" i="2"/>
  <c r="Z36" i="8"/>
  <c r="P14" i="12"/>
  <c r="P12" i="13" s="1"/>
  <c r="C14" i="12"/>
  <c r="C24" i="15" s="1"/>
  <c r="C12" i="15" s="1"/>
  <c r="V24" i="2"/>
  <c r="U24" i="3" s="1"/>
  <c r="Z28" i="8"/>
  <c r="X27" i="17"/>
  <c r="Q8" i="6"/>
  <c r="R27" i="17"/>
  <c r="R28" i="8"/>
  <c r="O8" i="6"/>
  <c r="R50" i="17"/>
  <c r="N18" i="9"/>
  <c r="L18" i="9"/>
  <c r="J50" i="17"/>
  <c r="F50" i="17"/>
  <c r="C8" i="6"/>
  <c r="S23" i="3"/>
  <c r="T20" i="2"/>
  <c r="O23" i="3"/>
  <c r="P20" i="2"/>
  <c r="K23" i="3"/>
  <c r="L20" i="2"/>
  <c r="G23" i="3"/>
  <c r="H20" i="2"/>
  <c r="C23" i="3"/>
  <c r="D20" i="2"/>
  <c r="D22" i="2" s="1"/>
  <c r="D24" i="2" s="1"/>
  <c r="S21" i="2"/>
  <c r="S10" i="3"/>
  <c r="U29" i="11"/>
  <c r="U25" i="16" s="1"/>
  <c r="U13" i="12"/>
  <c r="Q12" i="12"/>
  <c r="Q14" i="12" s="1"/>
  <c r="M12" i="12"/>
  <c r="M14" i="12" s="1"/>
  <c r="U19" i="11"/>
  <c r="U20" i="11" s="1"/>
  <c r="X23" i="3"/>
  <c r="Y20" i="2"/>
  <c r="Y22" i="2" s="1"/>
  <c r="Y24" i="2" s="1"/>
  <c r="X24" i="3" s="1"/>
  <c r="T23" i="3"/>
  <c r="U20" i="2"/>
  <c r="P23" i="3"/>
  <c r="Q20" i="2"/>
  <c r="L23" i="3"/>
  <c r="M20" i="2"/>
  <c r="H23" i="3"/>
  <c r="I20" i="2"/>
  <c r="D23" i="3"/>
  <c r="E20" i="2"/>
  <c r="X36" i="8"/>
  <c r="X10" i="8" s="1"/>
  <c r="X11" i="17" s="1"/>
  <c r="W27" i="3"/>
  <c r="Y18" i="2"/>
  <c r="T36" i="8"/>
  <c r="T10" i="8" s="1"/>
  <c r="U18" i="2"/>
  <c r="U22" i="2" s="1"/>
  <c r="O27" i="3"/>
  <c r="H36" i="8"/>
  <c r="H10" i="8" s="1"/>
  <c r="H11" i="17" s="1"/>
  <c r="M20" i="11"/>
  <c r="Y8" i="11"/>
  <c r="Z8" i="11" s="1"/>
  <c r="AA8" i="11" s="1"/>
  <c r="U11" i="12"/>
  <c r="V16" i="16"/>
  <c r="D94" i="3"/>
  <c r="D63" i="13"/>
  <c r="Y101" i="3"/>
  <c r="R32" i="10"/>
  <c r="R15" i="10" s="1"/>
  <c r="P32" i="10"/>
  <c r="P15" i="10" s="1"/>
  <c r="P26" i="15"/>
  <c r="P14" i="15" s="1"/>
  <c r="U41" i="8"/>
  <c r="U13" i="8" s="1"/>
  <c r="C11" i="16"/>
  <c r="D15" i="16"/>
  <c r="L26" i="2"/>
  <c r="U21" i="15"/>
  <c r="U10" i="15" s="1"/>
  <c r="U10" i="13"/>
  <c r="V10" i="13"/>
  <c r="U9" i="12"/>
  <c r="Y7" i="11"/>
  <c r="U9" i="13"/>
  <c r="U24" i="16"/>
  <c r="U8" i="16" s="1"/>
  <c r="T15" i="13"/>
  <c r="U8" i="12"/>
  <c r="V13" i="12"/>
  <c r="V27" i="2"/>
  <c r="V13" i="13"/>
  <c r="U13" i="13"/>
  <c r="W13" i="12"/>
  <c r="Y6" i="11"/>
  <c r="Z6" i="11" s="1"/>
  <c r="V21" i="15"/>
  <c r="V10" i="15" s="1"/>
  <c r="AB34" i="17" s="1"/>
  <c r="V9" i="12"/>
  <c r="X16" i="11"/>
  <c r="W13" i="13" s="1"/>
  <c r="X13" i="12"/>
  <c r="O24" i="15" l="1"/>
  <c r="O12" i="15" s="1"/>
  <c r="O12" i="13"/>
  <c r="R24" i="15"/>
  <c r="R12" i="15" s="1"/>
  <c r="R12" i="13"/>
  <c r="R14" i="13" s="1"/>
  <c r="R16" i="13" s="1"/>
  <c r="R69" i="13" s="1"/>
  <c r="I24" i="15"/>
  <c r="I12" i="15" s="1"/>
  <c r="I12" i="13"/>
  <c r="E24" i="15"/>
  <c r="E12" i="15" s="1"/>
  <c r="E12" i="13"/>
  <c r="E14" i="13" s="1"/>
  <c r="E16" i="13" s="1"/>
  <c r="E69" i="13" s="1"/>
  <c r="O13" i="3"/>
  <c r="P26" i="2"/>
  <c r="H26" i="2"/>
  <c r="G13" i="3"/>
  <c r="F24" i="15"/>
  <c r="F12" i="15" s="1"/>
  <c r="F12" i="13"/>
  <c r="G24" i="15"/>
  <c r="G12" i="15" s="1"/>
  <c r="G12" i="13"/>
  <c r="W23" i="3"/>
  <c r="X20" i="2"/>
  <c r="M12" i="13"/>
  <c r="M14" i="13" s="1"/>
  <c r="M16" i="13" s="1"/>
  <c r="M24" i="15"/>
  <c r="M12" i="15" s="1"/>
  <c r="Q24" i="15"/>
  <c r="Q12" i="15" s="1"/>
  <c r="Q12" i="13"/>
  <c r="K24" i="15"/>
  <c r="K12" i="15" s="1"/>
  <c r="K12" i="13"/>
  <c r="O21" i="36"/>
  <c r="O18" i="36"/>
  <c r="Q15" i="2"/>
  <c r="E63" i="13"/>
  <c r="P24" i="15"/>
  <c r="P12" i="15" s="1"/>
  <c r="M18" i="2"/>
  <c r="U24" i="2"/>
  <c r="C12" i="13"/>
  <c r="S12" i="2"/>
  <c r="S13" i="2" s="1"/>
  <c r="S15" i="2" s="1"/>
  <c r="T27" i="17"/>
  <c r="P18" i="2"/>
  <c r="P22" i="2" s="1"/>
  <c r="P24" i="2" s="1"/>
  <c r="R14" i="3"/>
  <c r="O20" i="3"/>
  <c r="S36" i="8"/>
  <c r="S10" i="8" s="1"/>
  <c r="S11" i="17" s="1"/>
  <c r="V27" i="3"/>
  <c r="X27" i="10"/>
  <c r="W18" i="9"/>
  <c r="L20" i="3"/>
  <c r="L28" i="8"/>
  <c r="AC27" i="3"/>
  <c r="AD17" i="36"/>
  <c r="Z21" i="36"/>
  <c r="Z18" i="36"/>
  <c r="V21" i="36"/>
  <c r="V18" i="36"/>
  <c r="S18" i="2"/>
  <c r="S22" i="2" s="1"/>
  <c r="S24" i="2" s="1"/>
  <c r="R17" i="36"/>
  <c r="L18" i="2"/>
  <c r="L22" i="2" s="1"/>
  <c r="L24" i="2" s="1"/>
  <c r="K17" i="36"/>
  <c r="H22" i="2"/>
  <c r="H24" i="2" s="1"/>
  <c r="G24" i="3" s="1"/>
  <c r="Y34" i="17"/>
  <c r="S21" i="36"/>
  <c r="S18" i="36"/>
  <c r="H21" i="36"/>
  <c r="H18" i="36"/>
  <c r="K27" i="3"/>
  <c r="E22" i="2"/>
  <c r="E24" i="2" s="1"/>
  <c r="U21" i="1"/>
  <c r="U22" i="1" s="1"/>
  <c r="P28" i="8"/>
  <c r="T18" i="9"/>
  <c r="T21" i="1"/>
  <c r="T22" i="1" s="1"/>
  <c r="X18" i="2"/>
  <c r="X22" i="2" s="1"/>
  <c r="X24" i="2" s="1"/>
  <c r="W24" i="3" s="1"/>
  <c r="N27" i="3"/>
  <c r="W28" i="8"/>
  <c r="H20" i="3"/>
  <c r="P27" i="17"/>
  <c r="AD28" i="8"/>
  <c r="AD18" i="2"/>
  <c r="AD22" i="2" s="1"/>
  <c r="AD24" i="2" s="1"/>
  <c r="AC17" i="36"/>
  <c r="Y21" i="36"/>
  <c r="Y18" i="36"/>
  <c r="U21" i="36"/>
  <c r="U18" i="36"/>
  <c r="Q21" i="36"/>
  <c r="Q18" i="36"/>
  <c r="N21" i="36"/>
  <c r="N18" i="36"/>
  <c r="J20" i="3"/>
  <c r="J17" i="36"/>
  <c r="V13" i="2"/>
  <c r="V15" i="2" s="1"/>
  <c r="V26" i="2" s="1"/>
  <c r="V29" i="2" s="1"/>
  <c r="V29" i="10" s="1"/>
  <c r="V12" i="10" s="1"/>
  <c r="V36" i="17" s="1"/>
  <c r="R13" i="2"/>
  <c r="R15" i="2" s="1"/>
  <c r="N13" i="2"/>
  <c r="N15" i="2" s="1"/>
  <c r="J13" i="2"/>
  <c r="J15" i="2" s="1"/>
  <c r="F13" i="2"/>
  <c r="F15" i="2" s="1"/>
  <c r="F26" i="2" s="1"/>
  <c r="F29" i="2" s="1"/>
  <c r="F29" i="10" s="1"/>
  <c r="F12" i="10" s="1"/>
  <c r="F36" i="17" s="1"/>
  <c r="R34" i="17"/>
  <c r="N34" i="17"/>
  <c r="W21" i="36"/>
  <c r="W18" i="36"/>
  <c r="L21" i="36"/>
  <c r="L18" i="36"/>
  <c r="W13" i="2"/>
  <c r="W15" i="2" s="1"/>
  <c r="V13" i="3" s="1"/>
  <c r="V15" i="3" s="1"/>
  <c r="V17" i="3" s="1"/>
  <c r="V31" i="3" s="1"/>
  <c r="X13" i="2"/>
  <c r="X15" i="2" s="1"/>
  <c r="D13" i="2"/>
  <c r="D15" i="2" s="1"/>
  <c r="C13" i="3" s="1"/>
  <c r="C15" i="3" s="1"/>
  <c r="C17" i="3" s="1"/>
  <c r="C31" i="3" s="1"/>
  <c r="D7" i="18"/>
  <c r="D26" i="16"/>
  <c r="G27" i="3"/>
  <c r="L36" i="8"/>
  <c r="L10" i="8" s="1"/>
  <c r="L11" i="17" s="1"/>
  <c r="T50" i="17"/>
  <c r="T13" i="2"/>
  <c r="T15" i="2" s="1"/>
  <c r="S13" i="3" s="1"/>
  <c r="S15" i="3" s="1"/>
  <c r="S17" i="3" s="1"/>
  <c r="S31" i="3" s="1"/>
  <c r="F22" i="2"/>
  <c r="F24" i="2" s="1"/>
  <c r="O36" i="8"/>
  <c r="O10" i="8" s="1"/>
  <c r="S20" i="3"/>
  <c r="E50" i="17"/>
  <c r="S12" i="12"/>
  <c r="S14" i="12" s="1"/>
  <c r="I18" i="2"/>
  <c r="I22" i="2" s="1"/>
  <c r="I24" i="2" s="1"/>
  <c r="K20" i="2"/>
  <c r="K22" i="2" s="1"/>
  <c r="K24" i="2" s="1"/>
  <c r="J24" i="3" s="1"/>
  <c r="T26" i="16"/>
  <c r="AC18" i="9"/>
  <c r="X21" i="36"/>
  <c r="X18" i="36"/>
  <c r="S27" i="3"/>
  <c r="T17" i="36"/>
  <c r="P20" i="3"/>
  <c r="P17" i="36"/>
  <c r="M21" i="36"/>
  <c r="M18" i="36"/>
  <c r="I21" i="36"/>
  <c r="I18" i="36"/>
  <c r="H26" i="16"/>
  <c r="L26" i="16"/>
  <c r="M26" i="16"/>
  <c r="T11" i="17"/>
  <c r="T8" i="16"/>
  <c r="K26" i="16"/>
  <c r="Q26" i="16"/>
  <c r="V8" i="17"/>
  <c r="R8" i="17"/>
  <c r="G26" i="16"/>
  <c r="F26" i="16"/>
  <c r="O26" i="16"/>
  <c r="Q11" i="17"/>
  <c r="O8" i="17"/>
  <c r="K8" i="17"/>
  <c r="P26" i="16"/>
  <c r="Y11" i="17"/>
  <c r="Z8" i="17"/>
  <c r="J26" i="16"/>
  <c r="S26" i="16"/>
  <c r="O11" i="17"/>
  <c r="M11" i="17"/>
  <c r="U11" i="17"/>
  <c r="Y8" i="17"/>
  <c r="Q8" i="17"/>
  <c r="M8" i="17"/>
  <c r="G14" i="18"/>
  <c r="G11" i="18"/>
  <c r="Z37" i="8"/>
  <c r="J37" i="8"/>
  <c r="T37" i="8"/>
  <c r="J8" i="8"/>
  <c r="J8" i="17" s="1"/>
  <c r="X37" i="8"/>
  <c r="H37" i="8"/>
  <c r="C37" i="8"/>
  <c r="C40" i="8" s="1"/>
  <c r="D7" i="9" s="1"/>
  <c r="Y37" i="8"/>
  <c r="S37" i="8"/>
  <c r="G31" i="18"/>
  <c r="Q37" i="8"/>
  <c r="D37" i="8"/>
  <c r="C8" i="8"/>
  <c r="C8" i="17" s="1"/>
  <c r="G26" i="18"/>
  <c r="H26" i="18" s="1"/>
  <c r="R24" i="9"/>
  <c r="S27" i="9" s="1"/>
  <c r="C12" i="6"/>
  <c r="C15" i="6" s="1"/>
  <c r="D70" i="13"/>
  <c r="G63" i="13"/>
  <c r="H70" i="13"/>
  <c r="H63" i="13"/>
  <c r="D55" i="13"/>
  <c r="F63" i="13"/>
  <c r="AB40" i="17"/>
  <c r="D13" i="18" s="1"/>
  <c r="M70" i="13"/>
  <c r="R37" i="17"/>
  <c r="J101" i="3"/>
  <c r="AC28" i="8"/>
  <c r="AA6" i="11"/>
  <c r="Z13" i="12" s="1"/>
  <c r="Y13" i="12"/>
  <c r="T12" i="6"/>
  <c r="T15" i="6" s="1"/>
  <c r="T17" i="6" s="1"/>
  <c r="AB37" i="6" s="1"/>
  <c r="I12" i="6"/>
  <c r="I15" i="6" s="1"/>
  <c r="I17" i="6" s="1"/>
  <c r="E12" i="6"/>
  <c r="E15" i="6" s="1"/>
  <c r="E17" i="6" s="1"/>
  <c r="Q12" i="6"/>
  <c r="Q15" i="6" s="1"/>
  <c r="Q17" i="6" s="1"/>
  <c r="J12" i="6"/>
  <c r="J15" i="6" s="1"/>
  <c r="J17" i="6" s="1"/>
  <c r="L27" i="6" s="1"/>
  <c r="T26" i="15"/>
  <c r="T14" i="15" s="1"/>
  <c r="Z40" i="17" s="1"/>
  <c r="S70" i="13"/>
  <c r="E70" i="13"/>
  <c r="C26" i="15"/>
  <c r="C14" i="15" s="1"/>
  <c r="Z62" i="13"/>
  <c r="K14" i="13"/>
  <c r="K16" i="13" s="1"/>
  <c r="K69" i="13" s="1"/>
  <c r="I14" i="13"/>
  <c r="I16" i="13" s="1"/>
  <c r="I69" i="13" s="1"/>
  <c r="AD37" i="17"/>
  <c r="W37" i="17"/>
  <c r="W62" i="13"/>
  <c r="I70" i="13"/>
  <c r="AA37" i="17"/>
  <c r="E10" i="18" s="1"/>
  <c r="O14" i="13"/>
  <c r="O16" i="13" s="1"/>
  <c r="O19" i="13" s="1"/>
  <c r="L70" i="13"/>
  <c r="O70" i="13"/>
  <c r="AA40" i="17"/>
  <c r="E13" i="18" s="1"/>
  <c r="S37" i="17"/>
  <c r="O37" i="17"/>
  <c r="Z55" i="13"/>
  <c r="Z63" i="13"/>
  <c r="S93" i="3"/>
  <c r="D93" i="3"/>
  <c r="P101" i="3"/>
  <c r="AE93" i="3"/>
  <c r="J26" i="3"/>
  <c r="J28" i="3" s="1"/>
  <c r="J32" i="3" s="1"/>
  <c r="H101" i="3"/>
  <c r="R40" i="17"/>
  <c r="K101" i="3"/>
  <c r="N101" i="3"/>
  <c r="AA93" i="3"/>
  <c r="AD86" i="3"/>
  <c r="R24" i="3"/>
  <c r="S27" i="2"/>
  <c r="H27" i="2"/>
  <c r="T26" i="2"/>
  <c r="F27" i="2"/>
  <c r="E24" i="3"/>
  <c r="E13" i="19"/>
  <c r="V41" i="8"/>
  <c r="V13" i="8" s="1"/>
  <c r="D26" i="2"/>
  <c r="D29" i="2" s="1"/>
  <c r="D29" i="10" s="1"/>
  <c r="D12" i="10" s="1"/>
  <c r="D36" i="17" s="1"/>
  <c r="C24" i="3"/>
  <c r="D27" i="2"/>
  <c r="X27" i="2"/>
  <c r="U27" i="2"/>
  <c r="T24" i="3"/>
  <c r="K27" i="2"/>
  <c r="K24" i="3"/>
  <c r="K26" i="3" s="1"/>
  <c r="K28" i="3" s="1"/>
  <c r="K32" i="3" s="1"/>
  <c r="L27" i="2"/>
  <c r="L29" i="2" s="1"/>
  <c r="L29" i="10" s="1"/>
  <c r="L12" i="10" s="1"/>
  <c r="L36" i="17" s="1"/>
  <c r="M13" i="3"/>
  <c r="N26" i="2"/>
  <c r="E13" i="3"/>
  <c r="E15" i="3" s="1"/>
  <c r="E17" i="3" s="1"/>
  <c r="E31" i="3" s="1"/>
  <c r="V27" i="6"/>
  <c r="S8" i="6"/>
  <c r="S12" i="6" s="1"/>
  <c r="S15" i="6" s="1"/>
  <c r="S17" i="6" s="1"/>
  <c r="V37" i="8"/>
  <c r="P8" i="6"/>
  <c r="AE37" i="6"/>
  <c r="AH37" i="6"/>
  <c r="Q27" i="3"/>
  <c r="Y8" i="6"/>
  <c r="Y12" i="6" s="1"/>
  <c r="Y15" i="6" s="1"/>
  <c r="AB18" i="9"/>
  <c r="U8" i="6"/>
  <c r="U12" i="6" s="1"/>
  <c r="U15" i="6" s="1"/>
  <c r="U17" i="6" s="1"/>
  <c r="X28" i="8"/>
  <c r="X18" i="9"/>
  <c r="Q27" i="17"/>
  <c r="N8" i="6"/>
  <c r="N12" i="6" s="1"/>
  <c r="N15" i="6" s="1"/>
  <c r="Q28" i="8"/>
  <c r="L27" i="3"/>
  <c r="N18" i="2"/>
  <c r="N22" i="2" s="1"/>
  <c r="N24" i="2" s="1"/>
  <c r="J18" i="2"/>
  <c r="J22" i="2" s="1"/>
  <c r="J24" i="2" s="1"/>
  <c r="H27" i="3"/>
  <c r="M13" i="2"/>
  <c r="M15" i="2" s="1"/>
  <c r="I13" i="2"/>
  <c r="I15" i="2" s="1"/>
  <c r="E13" i="2"/>
  <c r="E15" i="2" s="1"/>
  <c r="AB93" i="3"/>
  <c r="P12" i="6"/>
  <c r="P15" i="6" s="1"/>
  <c r="P17" i="6" s="1"/>
  <c r="U33" i="6" s="1"/>
  <c r="E10" i="8"/>
  <c r="E11" i="17" s="1"/>
  <c r="E37" i="8"/>
  <c r="K93" i="3"/>
  <c r="S101" i="3"/>
  <c r="P36" i="8"/>
  <c r="AB28" i="8"/>
  <c r="C55" i="18" s="1"/>
  <c r="C63" i="18" s="1"/>
  <c r="U37" i="8"/>
  <c r="T22" i="2"/>
  <c r="T24" i="2" s="1"/>
  <c r="I36" i="8"/>
  <c r="T20" i="3"/>
  <c r="T26" i="3" s="1"/>
  <c r="T28" i="3" s="1"/>
  <c r="T32" i="3" s="1"/>
  <c r="M8" i="6"/>
  <c r="M12" i="6" s="1"/>
  <c r="M15" i="6" s="1"/>
  <c r="M17" i="6" s="1"/>
  <c r="R30" i="6" s="1"/>
  <c r="P18" i="9"/>
  <c r="L50" i="17"/>
  <c r="L27" i="17"/>
  <c r="H27" i="17"/>
  <c r="H50" i="17"/>
  <c r="H28" i="8"/>
  <c r="V23" i="3"/>
  <c r="W20" i="2"/>
  <c r="N23" i="3"/>
  <c r="O20" i="2"/>
  <c r="O22" i="2" s="1"/>
  <c r="O24" i="2" s="1"/>
  <c r="O27" i="2" s="1"/>
  <c r="F23" i="3"/>
  <c r="G20" i="2"/>
  <c r="G22" i="2" s="1"/>
  <c r="G24" i="2" s="1"/>
  <c r="C22" i="2"/>
  <c r="C24" i="2" s="1"/>
  <c r="C27" i="2" s="1"/>
  <c r="W36" i="8"/>
  <c r="W20" i="3"/>
  <c r="W26" i="3" s="1"/>
  <c r="W28" i="3" s="1"/>
  <c r="W32" i="3" s="1"/>
  <c r="W22" i="2"/>
  <c r="W24" i="2" s="1"/>
  <c r="W27" i="2" s="1"/>
  <c r="V50" i="17"/>
  <c r="V18" i="9"/>
  <c r="V28" i="8"/>
  <c r="S50" i="17"/>
  <c r="S18" i="9"/>
  <c r="U27" i="3"/>
  <c r="V20" i="3"/>
  <c r="R20" i="3"/>
  <c r="R36" i="8"/>
  <c r="K20" i="3"/>
  <c r="K36" i="8"/>
  <c r="G36" i="8"/>
  <c r="G20" i="3"/>
  <c r="G26" i="3" s="1"/>
  <c r="G28" i="3" s="1"/>
  <c r="G32" i="3" s="1"/>
  <c r="C15" i="2"/>
  <c r="C26" i="2" s="1"/>
  <c r="Y13" i="2"/>
  <c r="Y15" i="2" s="1"/>
  <c r="U13" i="2"/>
  <c r="U15" i="2" s="1"/>
  <c r="O13" i="2"/>
  <c r="O15" i="2" s="1"/>
  <c r="K13" i="2"/>
  <c r="K15" i="2" s="1"/>
  <c r="G13" i="2"/>
  <c r="G15" i="2" s="1"/>
  <c r="I101" i="3"/>
  <c r="W101" i="3"/>
  <c r="M22" i="2"/>
  <c r="M24" i="2" s="1"/>
  <c r="Q18" i="2"/>
  <c r="Q22" i="2" s="1"/>
  <c r="Q24" i="2" s="1"/>
  <c r="X50" i="17"/>
  <c r="M37" i="8"/>
  <c r="R24" i="2"/>
  <c r="F27" i="3"/>
  <c r="M20" i="3"/>
  <c r="Q50" i="17"/>
  <c r="N50" i="17"/>
  <c r="N27" i="17"/>
  <c r="K8" i="6"/>
  <c r="K12" i="6" s="1"/>
  <c r="K15" i="6" s="1"/>
  <c r="K17" i="6" s="1"/>
  <c r="J27" i="17"/>
  <c r="J18" i="9"/>
  <c r="G8" i="6"/>
  <c r="G12" i="6" s="1"/>
  <c r="G15" i="6" s="1"/>
  <c r="X27" i="3"/>
  <c r="Z18" i="2"/>
  <c r="Z22" i="2" s="1"/>
  <c r="Z24" i="2" s="1"/>
  <c r="Z34" i="17"/>
  <c r="H12" i="6"/>
  <c r="H15" i="6" s="1"/>
  <c r="H17" i="6" s="1"/>
  <c r="H25" i="6" s="1"/>
  <c r="V12" i="6"/>
  <c r="V15" i="6" s="1"/>
  <c r="V17" i="6" s="1"/>
  <c r="W39" i="6" s="1"/>
  <c r="G25" i="18"/>
  <c r="H25" i="18" s="1"/>
  <c r="X13" i="11"/>
  <c r="W10" i="13" s="1"/>
  <c r="Z8" i="6"/>
  <c r="Z12" i="6" s="1"/>
  <c r="Z15" i="6" s="1"/>
  <c r="AA23" i="3"/>
  <c r="AA27" i="3"/>
  <c r="Q33" i="6"/>
  <c r="W37" i="6"/>
  <c r="O12" i="6"/>
  <c r="O15" i="6" s="1"/>
  <c r="O17" i="6" s="1"/>
  <c r="P32" i="6" s="1"/>
  <c r="D12" i="6"/>
  <c r="D15" i="6" s="1"/>
  <c r="D17" i="6" s="1"/>
  <c r="O27" i="6"/>
  <c r="J25" i="6"/>
  <c r="F12" i="6"/>
  <c r="F15" i="6" s="1"/>
  <c r="F17" i="6" s="1"/>
  <c r="R23" i="6" s="1"/>
  <c r="L12" i="6"/>
  <c r="L15" i="6" s="1"/>
  <c r="C50" i="6"/>
  <c r="C17" i="6"/>
  <c r="V30" i="6"/>
  <c r="S30" i="6"/>
  <c r="O30" i="6"/>
  <c r="T30" i="6"/>
  <c r="Q30" i="6"/>
  <c r="W30" i="6"/>
  <c r="M27" i="6"/>
  <c r="W33" i="6"/>
  <c r="Z37" i="6"/>
  <c r="K27" i="6"/>
  <c r="I25" i="6"/>
  <c r="AF37" i="6"/>
  <c r="T27" i="6"/>
  <c r="Q27" i="6"/>
  <c r="R12" i="6"/>
  <c r="R15" i="6" s="1"/>
  <c r="L62" i="13"/>
  <c r="E62" i="13"/>
  <c r="N70" i="13"/>
  <c r="R26" i="15"/>
  <c r="R14" i="15" s="1"/>
  <c r="X40" i="17" s="1"/>
  <c r="C70" i="13"/>
  <c r="D62" i="13"/>
  <c r="AD40" i="17"/>
  <c r="O62" i="13"/>
  <c r="J14" i="13"/>
  <c r="J16" i="13" s="1"/>
  <c r="J69" i="13" s="1"/>
  <c r="Z37" i="17"/>
  <c r="N37" i="17"/>
  <c r="J70" i="13"/>
  <c r="G14" i="13"/>
  <c r="G16" i="13" s="1"/>
  <c r="G69" i="13" s="1"/>
  <c r="K70" i="13"/>
  <c r="C62" i="13"/>
  <c r="V37" i="17"/>
  <c r="Q26" i="15"/>
  <c r="Q14" i="15" s="1"/>
  <c r="W40" i="17" s="1"/>
  <c r="Q70" i="13"/>
  <c r="F62" i="13"/>
  <c r="N62" i="13"/>
  <c r="X62" i="13"/>
  <c r="I62" i="13"/>
  <c r="Q62" i="13"/>
  <c r="J62" i="13"/>
  <c r="R62" i="13"/>
  <c r="F26" i="15"/>
  <c r="F14" i="15" s="1"/>
  <c r="L40" i="17" s="1"/>
  <c r="M62" i="13"/>
  <c r="U62" i="13"/>
  <c r="G62" i="13"/>
  <c r="J19" i="13"/>
  <c r="T62" i="13"/>
  <c r="H55" i="13"/>
  <c r="S40" i="17"/>
  <c r="M37" i="17"/>
  <c r="S62" i="13"/>
  <c r="K62" i="13"/>
  <c r="C14" i="13"/>
  <c r="C16" i="13" s="1"/>
  <c r="G70" i="13"/>
  <c r="P62" i="13"/>
  <c r="H62" i="13"/>
  <c r="AC40" i="17"/>
  <c r="Y37" i="17"/>
  <c r="Q14" i="13"/>
  <c r="Q16" i="13" s="1"/>
  <c r="Q19" i="13" s="1"/>
  <c r="P14" i="13"/>
  <c r="P16" i="13" s="1"/>
  <c r="F14" i="13"/>
  <c r="F16" i="13" s="1"/>
  <c r="U37" i="17"/>
  <c r="X28" i="11"/>
  <c r="Y28" i="11" s="1"/>
  <c r="X27" i="11"/>
  <c r="Y27" i="11" s="1"/>
  <c r="Y16" i="11"/>
  <c r="V11" i="12"/>
  <c r="AD18" i="9"/>
  <c r="AD40" i="1"/>
  <c r="X31" i="11" s="1"/>
  <c r="W18" i="13" s="1"/>
  <c r="AA34" i="3"/>
  <c r="AC20" i="2"/>
  <c r="AC20" i="3"/>
  <c r="AC18" i="2"/>
  <c r="AA13" i="2"/>
  <c r="AA15" i="2" s="1"/>
  <c r="Z13" i="3" s="1"/>
  <c r="Z15" i="3" s="1"/>
  <c r="Z17" i="3" s="1"/>
  <c r="Z31" i="3" s="1"/>
  <c r="AC36" i="8"/>
  <c r="AA20" i="3"/>
  <c r="G30" i="18"/>
  <c r="H30" i="18" s="1"/>
  <c r="W11" i="12"/>
  <c r="V19" i="11"/>
  <c r="V20" i="11" s="1"/>
  <c r="T12" i="12"/>
  <c r="T14" i="12" s="1"/>
  <c r="T12" i="13" s="1"/>
  <c r="T14" i="13" s="1"/>
  <c r="T16" i="13" s="1"/>
  <c r="U12" i="12"/>
  <c r="U14" i="12" s="1"/>
  <c r="AA34" i="17"/>
  <c r="U9" i="16"/>
  <c r="U26" i="16"/>
  <c r="W8" i="6"/>
  <c r="W12" i="6" s="1"/>
  <c r="W15" i="6" s="1"/>
  <c r="AA27" i="17"/>
  <c r="AE18" i="9"/>
  <c r="AE28" i="8"/>
  <c r="AB8" i="6"/>
  <c r="AB12" i="6" s="1"/>
  <c r="AB15" i="6" s="1"/>
  <c r="AA50" i="17"/>
  <c r="Z27" i="17"/>
  <c r="AA8" i="6"/>
  <c r="AA12" i="6" s="1"/>
  <c r="AA15" i="6" s="1"/>
  <c r="X8" i="6"/>
  <c r="X12" i="6" s="1"/>
  <c r="X15" i="6" s="1"/>
  <c r="Z18" i="9"/>
  <c r="Y16" i="6"/>
  <c r="AA20" i="2"/>
  <c r="AA22" i="2" s="1"/>
  <c r="AA24" i="2" s="1"/>
  <c r="Z24" i="3" s="1"/>
  <c r="Z26" i="3" s="1"/>
  <c r="Z10" i="8"/>
  <c r="Z27" i="3"/>
  <c r="AB27" i="3"/>
  <c r="AA10" i="8"/>
  <c r="AA37" i="8"/>
  <c r="AD37" i="8"/>
  <c r="AB36" i="8"/>
  <c r="AB18" i="2"/>
  <c r="AB22" i="2" s="1"/>
  <c r="AB24" i="2" s="1"/>
  <c r="AD27" i="3"/>
  <c r="AE36" i="8"/>
  <c r="Z13" i="2"/>
  <c r="Z15" i="2" s="1"/>
  <c r="Z26" i="2" s="1"/>
  <c r="AB13" i="2"/>
  <c r="AB15" i="2" s="1"/>
  <c r="AB26" i="2" s="1"/>
  <c r="AC13" i="2"/>
  <c r="AC15" i="2" s="1"/>
  <c r="AC26" i="2" s="1"/>
  <c r="AE13" i="2"/>
  <c r="AE15" i="2" s="1"/>
  <c r="AE26" i="2" s="1"/>
  <c r="AA13" i="3"/>
  <c r="AA15" i="3" s="1"/>
  <c r="AA17" i="3" s="1"/>
  <c r="AA31" i="3" s="1"/>
  <c r="AD13" i="2"/>
  <c r="AD15" i="2" s="1"/>
  <c r="AC37" i="17"/>
  <c r="Y40" i="17"/>
  <c r="O40" i="17"/>
  <c r="K40" i="17"/>
  <c r="G19" i="13"/>
  <c r="I55" i="13"/>
  <c r="K63" i="13"/>
  <c r="O63" i="13"/>
  <c r="S63" i="13"/>
  <c r="W63" i="13"/>
  <c r="P63" i="13"/>
  <c r="X63" i="13"/>
  <c r="N63" i="13"/>
  <c r="R63" i="13"/>
  <c r="I63" i="13"/>
  <c r="M63" i="13"/>
  <c r="Q63" i="13"/>
  <c r="U63" i="13"/>
  <c r="L63" i="13"/>
  <c r="T63" i="13"/>
  <c r="V62" i="13"/>
  <c r="AB37" i="17"/>
  <c r="D10" i="18" s="1"/>
  <c r="X37" i="17"/>
  <c r="T37" i="17"/>
  <c r="P37" i="17"/>
  <c r="L37" i="17"/>
  <c r="P40" i="17"/>
  <c r="T40" i="17"/>
  <c r="U40" i="17"/>
  <c r="Q40" i="17"/>
  <c r="M40" i="17"/>
  <c r="J63" i="13"/>
  <c r="Y62" i="13"/>
  <c r="V63" i="13"/>
  <c r="Y63" i="13"/>
  <c r="E94" i="3"/>
  <c r="L93" i="3"/>
  <c r="K15" i="3"/>
  <c r="K17" i="3" s="1"/>
  <c r="K31" i="3" s="1"/>
  <c r="G15" i="3"/>
  <c r="G17" i="3" s="1"/>
  <c r="G31" i="3" s="1"/>
  <c r="X26" i="3"/>
  <c r="W93" i="3"/>
  <c r="O93" i="3"/>
  <c r="G93" i="3"/>
  <c r="F32" i="10"/>
  <c r="F15" i="10" s="1"/>
  <c r="F40" i="17" s="1"/>
  <c r="F94" i="3"/>
  <c r="O15" i="3"/>
  <c r="O17" i="3" s="1"/>
  <c r="O31" i="3" s="1"/>
  <c r="R101" i="3"/>
  <c r="H94" i="3"/>
  <c r="X101" i="3"/>
  <c r="T93" i="3"/>
  <c r="U26" i="3"/>
  <c r="U28" i="3" s="1"/>
  <c r="U32" i="3" s="1"/>
  <c r="H32" i="10"/>
  <c r="H15" i="10" s="1"/>
  <c r="H40" i="17" s="1"/>
  <c r="G101" i="3"/>
  <c r="C15" i="10"/>
  <c r="C26" i="3"/>
  <c r="C28" i="3" s="1"/>
  <c r="C32" i="3" s="1"/>
  <c r="H86" i="3"/>
  <c r="T101" i="3"/>
  <c r="L101" i="3"/>
  <c r="X93" i="3"/>
  <c r="P93" i="3"/>
  <c r="H93" i="3"/>
  <c r="V32" i="10"/>
  <c r="V15" i="10" s="1"/>
  <c r="V40" i="17" s="1"/>
  <c r="U101" i="3"/>
  <c r="N32" i="10"/>
  <c r="N15" i="10" s="1"/>
  <c r="N40" i="17" s="1"/>
  <c r="M101" i="3"/>
  <c r="G32" i="10"/>
  <c r="G15" i="10" s="1"/>
  <c r="G40" i="17" s="1"/>
  <c r="F101" i="3"/>
  <c r="F93" i="3"/>
  <c r="J93" i="3"/>
  <c r="N93" i="3"/>
  <c r="R93" i="3"/>
  <c r="V93" i="3"/>
  <c r="Z93" i="3"/>
  <c r="E32" i="10"/>
  <c r="E15" i="10" s="1"/>
  <c r="E40" i="17" s="1"/>
  <c r="E93" i="3"/>
  <c r="I93" i="3"/>
  <c r="M93" i="3"/>
  <c r="Q93" i="3"/>
  <c r="U93" i="3"/>
  <c r="Y93" i="3"/>
  <c r="AC93" i="3"/>
  <c r="M15" i="3"/>
  <c r="M17" i="3" s="1"/>
  <c r="M31" i="3" s="1"/>
  <c r="L29" i="4"/>
  <c r="M35" i="4"/>
  <c r="R75" i="3"/>
  <c r="E26" i="3"/>
  <c r="E28" i="3" s="1"/>
  <c r="E32" i="3" s="1"/>
  <c r="Z7" i="11"/>
  <c r="AA7" i="11" s="1"/>
  <c r="Y27" i="2"/>
  <c r="N12" i="13"/>
  <c r="N14" i="13" s="1"/>
  <c r="N16" i="13" s="1"/>
  <c r="N24" i="15"/>
  <c r="N12" i="15" s="1"/>
  <c r="L24" i="15"/>
  <c r="L12" i="15" s="1"/>
  <c r="L12" i="13"/>
  <c r="L14" i="13" s="1"/>
  <c r="L16" i="13" s="1"/>
  <c r="I24" i="3"/>
  <c r="I26" i="3" s="1"/>
  <c r="I28" i="3" s="1"/>
  <c r="I32" i="3" s="1"/>
  <c r="J27" i="2"/>
  <c r="N24" i="3"/>
  <c r="D24" i="15"/>
  <c r="D12" i="15" s="1"/>
  <c r="D12" i="13"/>
  <c r="D14" i="13" s="1"/>
  <c r="D16" i="13" s="1"/>
  <c r="L17" i="6"/>
  <c r="L29" i="6" s="1"/>
  <c r="AT29" i="6" s="1"/>
  <c r="AU29" i="6" s="1"/>
  <c r="P13" i="3"/>
  <c r="P15" i="3" s="1"/>
  <c r="P17" i="3" s="1"/>
  <c r="P31" i="3" s="1"/>
  <c r="Q26" i="2"/>
  <c r="V24" i="3"/>
  <c r="H24" i="15"/>
  <c r="H12" i="15" s="1"/>
  <c r="H12" i="13"/>
  <c r="H14" i="13" s="1"/>
  <c r="H16" i="13" s="1"/>
  <c r="AD93" i="3"/>
  <c r="AC23" i="3"/>
  <c r="AE18" i="2"/>
  <c r="AD20" i="3"/>
  <c r="AE20" i="2"/>
  <c r="F37" i="8"/>
  <c r="R26" i="16"/>
  <c r="N26" i="16"/>
  <c r="I26" i="16"/>
  <c r="E26" i="16"/>
  <c r="AC86" i="3"/>
  <c r="M69" i="13" l="1"/>
  <c r="M19" i="13"/>
  <c r="Q28" i="6"/>
  <c r="P28" i="6"/>
  <c r="H24" i="3"/>
  <c r="H26" i="3" s="1"/>
  <c r="I27" i="2"/>
  <c r="R13" i="3"/>
  <c r="R15" i="3" s="1"/>
  <c r="R17" i="3" s="1"/>
  <c r="R31" i="3" s="1"/>
  <c r="S26" i="2"/>
  <c r="S29" i="2" s="1"/>
  <c r="S29" i="10" s="1"/>
  <c r="S12" i="10" s="1"/>
  <c r="S36" i="17" s="1"/>
  <c r="Y13" i="3"/>
  <c r="Y15" i="3" s="1"/>
  <c r="Y17" i="3" s="1"/>
  <c r="Y31" i="3" s="1"/>
  <c r="W26" i="36"/>
  <c r="W22" i="36"/>
  <c r="U22" i="36"/>
  <c r="U26" i="36"/>
  <c r="D24" i="3"/>
  <c r="D26" i="3" s="1"/>
  <c r="D28" i="3" s="1"/>
  <c r="D32" i="3" s="1"/>
  <c r="E27" i="2"/>
  <c r="H22" i="36"/>
  <c r="H26" i="36"/>
  <c r="R21" i="36"/>
  <c r="R18" i="36"/>
  <c r="O22" i="36"/>
  <c r="O26" i="36"/>
  <c r="N25" i="6"/>
  <c r="R25" i="6"/>
  <c r="W26" i="2"/>
  <c r="O37" i="8"/>
  <c r="P21" i="36"/>
  <c r="P18" i="36"/>
  <c r="S12" i="13"/>
  <c r="S14" i="13" s="1"/>
  <c r="S16" i="13" s="1"/>
  <c r="S19" i="13" s="1"/>
  <c r="AB40" i="13" s="1"/>
  <c r="W36" i="14" s="1"/>
  <c r="S24" i="15"/>
  <c r="S12" i="15" s="1"/>
  <c r="I13" i="3"/>
  <c r="I15" i="3" s="1"/>
  <c r="I17" i="3" s="1"/>
  <c r="I31" i="3" s="1"/>
  <c r="J26" i="2"/>
  <c r="J21" i="36"/>
  <c r="J18" i="36"/>
  <c r="Z22" i="36"/>
  <c r="Z26" i="36"/>
  <c r="O24" i="3"/>
  <c r="O26" i="3" s="1"/>
  <c r="O28" i="3" s="1"/>
  <c r="O32" i="3" s="1"/>
  <c r="P27" i="2"/>
  <c r="P29" i="2" s="1"/>
  <c r="P29" i="10" s="1"/>
  <c r="P12" i="10" s="1"/>
  <c r="P36" i="17" s="1"/>
  <c r="W33" i="3"/>
  <c r="W35" i="3" s="1"/>
  <c r="N22" i="36"/>
  <c r="N26" i="36"/>
  <c r="U13" i="3"/>
  <c r="U15" i="3" s="1"/>
  <c r="U17" i="3" s="1"/>
  <c r="U31" i="3" s="1"/>
  <c r="U33" i="3" s="1"/>
  <c r="I26" i="36"/>
  <c r="I22" i="36"/>
  <c r="X22" i="36"/>
  <c r="X26" i="36"/>
  <c r="L26" i="36"/>
  <c r="L22" i="36"/>
  <c r="Q26" i="36"/>
  <c r="Q22" i="36"/>
  <c r="Y26" i="36"/>
  <c r="Y22" i="36"/>
  <c r="S26" i="36"/>
  <c r="S22" i="36"/>
  <c r="K21" i="36"/>
  <c r="K18" i="36"/>
  <c r="AD21" i="36"/>
  <c r="AD18" i="36"/>
  <c r="J29" i="2"/>
  <c r="J29" i="10" s="1"/>
  <c r="J12" i="10" s="1"/>
  <c r="J36" i="17" s="1"/>
  <c r="M22" i="36"/>
  <c r="M26" i="36"/>
  <c r="E7" i="18"/>
  <c r="T24" i="15"/>
  <c r="T12" i="15" s="1"/>
  <c r="W29" i="2"/>
  <c r="W29" i="10" s="1"/>
  <c r="W12" i="10" s="1"/>
  <c r="W36" i="17" s="1"/>
  <c r="H29" i="2"/>
  <c r="H29" i="10" s="1"/>
  <c r="H12" i="10" s="1"/>
  <c r="H36" i="17" s="1"/>
  <c r="L37" i="8"/>
  <c r="T21" i="36"/>
  <c r="T18" i="36"/>
  <c r="W13" i="3"/>
  <c r="W15" i="3" s="1"/>
  <c r="W17" i="3" s="1"/>
  <c r="W31" i="3" s="1"/>
  <c r="X26" i="2"/>
  <c r="X29" i="2" s="1"/>
  <c r="X29" i="10" s="1"/>
  <c r="X12" i="10" s="1"/>
  <c r="X36" i="17" s="1"/>
  <c r="R26" i="2"/>
  <c r="Q13" i="3"/>
  <c r="Q15" i="3" s="1"/>
  <c r="Q17" i="3" s="1"/>
  <c r="Q31" i="3" s="1"/>
  <c r="AC21" i="36"/>
  <c r="AC18" i="36"/>
  <c r="V26" i="36"/>
  <c r="V22" i="36"/>
  <c r="V26" i="6"/>
  <c r="K26" i="6"/>
  <c r="O26" i="6"/>
  <c r="N23" i="6"/>
  <c r="M25" i="6"/>
  <c r="U37" i="6"/>
  <c r="Y37" i="6"/>
  <c r="P27" i="6"/>
  <c r="M26" i="6"/>
  <c r="S26" i="6"/>
  <c r="AG37" i="6"/>
  <c r="V37" i="6"/>
  <c r="N27" i="6"/>
  <c r="R26" i="6"/>
  <c r="N26" i="6"/>
  <c r="AD37" i="6"/>
  <c r="U27" i="6"/>
  <c r="AH39" i="6"/>
  <c r="S27" i="6"/>
  <c r="W32" i="6"/>
  <c r="AC37" i="6"/>
  <c r="AA37" i="6"/>
  <c r="K19" i="13"/>
  <c r="P32" i="13" s="1"/>
  <c r="K28" i="14" s="1"/>
  <c r="O69" i="13"/>
  <c r="R19" i="13"/>
  <c r="AC39" i="13" s="1"/>
  <c r="X35" i="14" s="1"/>
  <c r="S69" i="13"/>
  <c r="Y13" i="11"/>
  <c r="X21" i="15" s="1"/>
  <c r="X10" i="15" s="1"/>
  <c r="AD34" i="17" s="1"/>
  <c r="G33" i="3"/>
  <c r="O33" i="3"/>
  <c r="O100" i="3" s="1"/>
  <c r="AD13" i="3"/>
  <c r="AD15" i="3" s="1"/>
  <c r="AD17" i="3" s="1"/>
  <c r="AD31" i="3" s="1"/>
  <c r="P25" i="6"/>
  <c r="W27" i="6"/>
  <c r="AB39" i="6"/>
  <c r="R27" i="6"/>
  <c r="X37" i="6"/>
  <c r="J27" i="6"/>
  <c r="AG39" i="6"/>
  <c r="L25" i="6"/>
  <c r="F23" i="6"/>
  <c r="T25" i="6"/>
  <c r="O25" i="6"/>
  <c r="K50" i="6"/>
  <c r="F22" i="6"/>
  <c r="G22" i="6"/>
  <c r="O22" i="6"/>
  <c r="P22" i="6"/>
  <c r="Q22" i="6"/>
  <c r="G17" i="6"/>
  <c r="I24" i="6" s="1"/>
  <c r="L50" i="6"/>
  <c r="R50" i="6"/>
  <c r="AD38" i="6"/>
  <c r="AG38" i="6"/>
  <c r="AH38" i="6"/>
  <c r="Z38" i="6"/>
  <c r="AB34" i="6"/>
  <c r="X34" i="6"/>
  <c r="K23" i="6"/>
  <c r="AD39" i="6"/>
  <c r="M30" i="6"/>
  <c r="G23" i="6"/>
  <c r="L23" i="6"/>
  <c r="H23" i="6"/>
  <c r="U30" i="6"/>
  <c r="P30" i="6"/>
  <c r="S28" i="6"/>
  <c r="U28" i="6"/>
  <c r="AC39" i="6"/>
  <c r="F50" i="6"/>
  <c r="P23" i="6"/>
  <c r="O23" i="6"/>
  <c r="R28" i="6"/>
  <c r="E50" i="6"/>
  <c r="N28" i="6"/>
  <c r="Z39" i="6"/>
  <c r="AF39" i="6"/>
  <c r="AE39" i="6"/>
  <c r="L28" i="6"/>
  <c r="Q23" i="6"/>
  <c r="I23" i="6"/>
  <c r="N30" i="6"/>
  <c r="D50" i="6"/>
  <c r="V28" i="6"/>
  <c r="S33" i="6"/>
  <c r="AC50" i="6"/>
  <c r="X36" i="13"/>
  <c r="S32" i="14" s="1"/>
  <c r="AB36" i="13"/>
  <c r="W32" i="14" s="1"/>
  <c r="Y36" i="13"/>
  <c r="T32" i="14" s="1"/>
  <c r="V36" i="13"/>
  <c r="Q32" i="14" s="1"/>
  <c r="R36" i="13"/>
  <c r="M32" i="14" s="1"/>
  <c r="AC36" i="13"/>
  <c r="X32" i="14" s="1"/>
  <c r="E19" i="13"/>
  <c r="Q26" i="13" s="1"/>
  <c r="Y40" i="13"/>
  <c r="T36" i="14" s="1"/>
  <c r="AF40" i="13"/>
  <c r="AA36" i="14" s="1"/>
  <c r="Q69" i="13"/>
  <c r="I19" i="13"/>
  <c r="N30" i="13" s="1"/>
  <c r="I26" i="14" s="1"/>
  <c r="V26" i="3"/>
  <c r="V28" i="3" s="1"/>
  <c r="V32" i="3" s="1"/>
  <c r="K33" i="3"/>
  <c r="K100" i="3" s="1"/>
  <c r="N26" i="3"/>
  <c r="N28" i="3" s="1"/>
  <c r="N32" i="3" s="1"/>
  <c r="R26" i="3"/>
  <c r="R28" i="3" s="1"/>
  <c r="R32" i="3" s="1"/>
  <c r="I26" i="2"/>
  <c r="I29" i="2" s="1"/>
  <c r="I29" i="10" s="1"/>
  <c r="I12" i="10" s="1"/>
  <c r="I36" i="17" s="1"/>
  <c r="H13" i="3"/>
  <c r="H15" i="3" s="1"/>
  <c r="H17" i="3" s="1"/>
  <c r="H31" i="3" s="1"/>
  <c r="Z34" i="6"/>
  <c r="V34" i="6"/>
  <c r="R34" i="6"/>
  <c r="G37" i="8"/>
  <c r="G10" i="8"/>
  <c r="G11" i="17" s="1"/>
  <c r="I10" i="8"/>
  <c r="I11" i="17" s="1"/>
  <c r="I37" i="8"/>
  <c r="J22" i="6"/>
  <c r="L22" i="6"/>
  <c r="AC34" i="6"/>
  <c r="Y34" i="6"/>
  <c r="G26" i="2"/>
  <c r="F13" i="3"/>
  <c r="F15" i="3" s="1"/>
  <c r="F17" i="3" s="1"/>
  <c r="F31" i="3" s="1"/>
  <c r="K37" i="8"/>
  <c r="K10" i="8"/>
  <c r="K11" i="17" s="1"/>
  <c r="Q36" i="13"/>
  <c r="L32" i="14" s="1"/>
  <c r="T36" i="13"/>
  <c r="O32" i="14" s="1"/>
  <c r="M26" i="2"/>
  <c r="L13" i="3"/>
  <c r="L15" i="3" s="1"/>
  <c r="L17" i="3" s="1"/>
  <c r="L31" i="3" s="1"/>
  <c r="W41" i="8"/>
  <c r="W13" i="8" s="1"/>
  <c r="F13" i="19"/>
  <c r="R22" i="6"/>
  <c r="I33" i="3"/>
  <c r="I100" i="3" s="1"/>
  <c r="X38" i="6"/>
  <c r="AI38" i="6"/>
  <c r="X28" i="3"/>
  <c r="X32" i="3" s="1"/>
  <c r="AA26" i="2"/>
  <c r="Z11" i="17"/>
  <c r="U36" i="13"/>
  <c r="P32" i="14" s="1"/>
  <c r="Z36" i="13"/>
  <c r="U32" i="14" s="1"/>
  <c r="AA36" i="13"/>
  <c r="V32" i="14" s="1"/>
  <c r="T33" i="6"/>
  <c r="V33" i="6"/>
  <c r="AA38" i="6"/>
  <c r="AF38" i="6"/>
  <c r="U34" i="6"/>
  <c r="S34" i="6"/>
  <c r="W34" i="6"/>
  <c r="K28" i="6"/>
  <c r="K22" i="6"/>
  <c r="H22" i="6"/>
  <c r="H50" i="6"/>
  <c r="J50" i="6"/>
  <c r="M28" i="6"/>
  <c r="W28" i="6"/>
  <c r="O28" i="6"/>
  <c r="T34" i="6"/>
  <c r="V38" i="6"/>
  <c r="R33" i="6"/>
  <c r="X39" i="6"/>
  <c r="AJ39" i="6"/>
  <c r="AI39" i="6"/>
  <c r="Y39" i="6"/>
  <c r="AA39" i="6"/>
  <c r="L24" i="3"/>
  <c r="L26" i="3" s="1"/>
  <c r="L28" i="3" s="1"/>
  <c r="L32" i="3" s="1"/>
  <c r="M27" i="2"/>
  <c r="K26" i="2"/>
  <c r="K29" i="2" s="1"/>
  <c r="K29" i="10" s="1"/>
  <c r="K12" i="10" s="1"/>
  <c r="K36" i="17" s="1"/>
  <c r="J13" i="3"/>
  <c r="J15" i="3" s="1"/>
  <c r="J17" i="3" s="1"/>
  <c r="J31" i="3" s="1"/>
  <c r="J33" i="3" s="1"/>
  <c r="J100" i="3" s="1"/>
  <c r="C29" i="2"/>
  <c r="C29" i="10" s="1"/>
  <c r="F24" i="3"/>
  <c r="F26" i="3" s="1"/>
  <c r="F28" i="3" s="1"/>
  <c r="F32" i="3" s="1"/>
  <c r="G27" i="2"/>
  <c r="P37" i="8"/>
  <c r="P10" i="8"/>
  <c r="P11" i="17" s="1"/>
  <c r="H28" i="3"/>
  <c r="H32" i="3" s="1"/>
  <c r="S34" i="10"/>
  <c r="S17" i="10" s="1"/>
  <c r="S42" i="17" s="1"/>
  <c r="AA27" i="9"/>
  <c r="AA34" i="10" s="1"/>
  <c r="AA17" i="10" s="1"/>
  <c r="AA42" i="17" s="1"/>
  <c r="E15" i="18" s="1"/>
  <c r="AE27" i="9"/>
  <c r="AE34" i="10" s="1"/>
  <c r="AE17" i="10" s="1"/>
  <c r="AE42" i="17" s="1"/>
  <c r="AB27" i="9"/>
  <c r="AB34" i="10" s="1"/>
  <c r="AB17" i="10" s="1"/>
  <c r="AB42" i="17" s="1"/>
  <c r="D15" i="18" s="1"/>
  <c r="AF27" i="9"/>
  <c r="AF34" i="10" s="1"/>
  <c r="AF17" i="10" s="1"/>
  <c r="AF42" i="17" s="1"/>
  <c r="AC27" i="9"/>
  <c r="AC34" i="10" s="1"/>
  <c r="AC17" i="10" s="1"/>
  <c r="AC42" i="17" s="1"/>
  <c r="W27" i="9"/>
  <c r="W34" i="10" s="1"/>
  <c r="W17" i="10" s="1"/>
  <c r="W42" i="17" s="1"/>
  <c r="X27" i="9"/>
  <c r="X34" i="10" s="1"/>
  <c r="X17" i="10" s="1"/>
  <c r="X42" i="17" s="1"/>
  <c r="Y27" i="9"/>
  <c r="Y34" i="10" s="1"/>
  <c r="Y17" i="10" s="1"/>
  <c r="Y42" i="17" s="1"/>
  <c r="AD27" i="9"/>
  <c r="AD34" i="10" s="1"/>
  <c r="AD17" i="10" s="1"/>
  <c r="AD42" i="17" s="1"/>
  <c r="T27" i="9"/>
  <c r="Z27" i="9"/>
  <c r="Z34" i="10" s="1"/>
  <c r="Z17" i="10" s="1"/>
  <c r="Z42" i="17" s="1"/>
  <c r="S30" i="9"/>
  <c r="U27" i="9"/>
  <c r="U34" i="10" s="1"/>
  <c r="U17" i="10" s="1"/>
  <c r="U42" i="17" s="1"/>
  <c r="V27" i="9"/>
  <c r="V34" i="10" s="1"/>
  <c r="V17" i="10" s="1"/>
  <c r="V42" i="17" s="1"/>
  <c r="U26" i="2"/>
  <c r="U29" i="2" s="1"/>
  <c r="U29" i="10" s="1"/>
  <c r="U12" i="10" s="1"/>
  <c r="U36" i="17" s="1"/>
  <c r="T13" i="3"/>
  <c r="T15" i="3" s="1"/>
  <c r="T17" i="3" s="1"/>
  <c r="T31" i="3" s="1"/>
  <c r="T33" i="3" s="1"/>
  <c r="T100" i="3" s="1"/>
  <c r="W37" i="8"/>
  <c r="W10" i="8"/>
  <c r="W11" i="17" s="1"/>
  <c r="M24" i="3"/>
  <c r="M26" i="3" s="1"/>
  <c r="M28" i="3" s="1"/>
  <c r="M32" i="3" s="1"/>
  <c r="M33" i="3" s="1"/>
  <c r="N27" i="2"/>
  <c r="N29" i="2" s="1"/>
  <c r="N29" i="10" s="1"/>
  <c r="N12" i="10" s="1"/>
  <c r="N36" i="17" s="1"/>
  <c r="S29" i="9"/>
  <c r="W38" i="6"/>
  <c r="AC38" i="6"/>
  <c r="AA34" i="6"/>
  <c r="M22" i="6"/>
  <c r="N22" i="6"/>
  <c r="Q27" i="2"/>
  <c r="Q29" i="2" s="1"/>
  <c r="Q29" i="10" s="1"/>
  <c r="Q12" i="10" s="1"/>
  <c r="Q36" i="17" s="1"/>
  <c r="P24" i="3"/>
  <c r="P26" i="3" s="1"/>
  <c r="P28" i="3" s="1"/>
  <c r="P32" i="3" s="1"/>
  <c r="P33" i="3" s="1"/>
  <c r="Y26" i="2"/>
  <c r="Y29" i="2" s="1"/>
  <c r="Y29" i="10" s="1"/>
  <c r="Y12" i="10" s="1"/>
  <c r="Y36" i="17" s="1"/>
  <c r="X13" i="3"/>
  <c r="X15" i="3" s="1"/>
  <c r="X17" i="3" s="1"/>
  <c r="X31" i="3" s="1"/>
  <c r="X33" i="3" s="1"/>
  <c r="X35" i="3" s="1"/>
  <c r="AM61" i="3" s="1"/>
  <c r="S24" i="3"/>
  <c r="S26" i="3" s="1"/>
  <c r="S28" i="3" s="1"/>
  <c r="S32" i="3" s="1"/>
  <c r="S33" i="3" s="1"/>
  <c r="T27" i="2"/>
  <c r="T29" i="2" s="1"/>
  <c r="T29" i="10" s="1"/>
  <c r="T12" i="10" s="1"/>
  <c r="T36" i="17" s="1"/>
  <c r="I22" i="6"/>
  <c r="Z40" i="13"/>
  <c r="U36" i="14" s="1"/>
  <c r="AJ38" i="6"/>
  <c r="Y38" i="6"/>
  <c r="E33" i="3"/>
  <c r="E100" i="3" s="1"/>
  <c r="C33" i="3"/>
  <c r="C37" i="3" s="1"/>
  <c r="C91" i="3" s="1"/>
  <c r="P36" i="13"/>
  <c r="K32" i="14" s="1"/>
  <c r="W36" i="13"/>
  <c r="R32" i="14" s="1"/>
  <c r="S36" i="13"/>
  <c r="N32" i="14" s="1"/>
  <c r="AE38" i="6"/>
  <c r="AB38" i="6"/>
  <c r="AD34" i="6"/>
  <c r="AE34" i="6"/>
  <c r="I50" i="6"/>
  <c r="E22" i="6"/>
  <c r="T28" i="6"/>
  <c r="K25" i="6"/>
  <c r="S25" i="6"/>
  <c r="Q25" i="6"/>
  <c r="R27" i="2"/>
  <c r="Q24" i="3"/>
  <c r="Q26" i="3" s="1"/>
  <c r="Q28" i="3" s="1"/>
  <c r="Q32" i="3" s="1"/>
  <c r="Q33" i="3" s="1"/>
  <c r="O26" i="2"/>
  <c r="O29" i="2" s="1"/>
  <c r="O29" i="10" s="1"/>
  <c r="O12" i="10" s="1"/>
  <c r="O36" i="17" s="1"/>
  <c r="N13" i="3"/>
  <c r="N15" i="3" s="1"/>
  <c r="N17" i="3" s="1"/>
  <c r="N31" i="3" s="1"/>
  <c r="R10" i="8"/>
  <c r="R11" i="17" s="1"/>
  <c r="R37" i="8"/>
  <c r="E26" i="2"/>
  <c r="E29" i="2" s="1"/>
  <c r="E29" i="10" s="1"/>
  <c r="E12" i="10" s="1"/>
  <c r="E36" i="17" s="1"/>
  <c r="D13" i="3"/>
  <c r="D15" i="3" s="1"/>
  <c r="D17" i="3" s="1"/>
  <c r="D31" i="3" s="1"/>
  <c r="D33" i="3" s="1"/>
  <c r="G10" i="18"/>
  <c r="W21" i="15"/>
  <c r="W10" i="15" s="1"/>
  <c r="AC34" i="17" s="1"/>
  <c r="W9" i="12"/>
  <c r="AC22" i="2"/>
  <c r="AC24" i="2" s="1"/>
  <c r="AC27" i="2" s="1"/>
  <c r="AC29" i="2" s="1"/>
  <c r="AC29" i="10" s="1"/>
  <c r="AC12" i="10" s="1"/>
  <c r="T32" i="6"/>
  <c r="U32" i="6"/>
  <c r="Y32" i="6"/>
  <c r="Q32" i="6"/>
  <c r="AA32" i="6"/>
  <c r="AB32" i="6"/>
  <c r="S32" i="6"/>
  <c r="X32" i="6"/>
  <c r="N50" i="6"/>
  <c r="M50" i="6"/>
  <c r="P26" i="6"/>
  <c r="J26" i="6"/>
  <c r="L26" i="6"/>
  <c r="U26" i="6"/>
  <c r="T26" i="6"/>
  <c r="Q26" i="6"/>
  <c r="I26" i="6"/>
  <c r="V32" i="6"/>
  <c r="Z32" i="6"/>
  <c r="R32" i="6"/>
  <c r="G50" i="6"/>
  <c r="J23" i="6"/>
  <c r="M23" i="6"/>
  <c r="S23" i="6"/>
  <c r="AD36" i="6"/>
  <c r="AF36" i="6"/>
  <c r="AC36" i="6"/>
  <c r="AE36" i="6"/>
  <c r="Y36" i="6"/>
  <c r="AA36" i="6"/>
  <c r="T36" i="6"/>
  <c r="AG36" i="6"/>
  <c r="Z36" i="6"/>
  <c r="AB36" i="6"/>
  <c r="V36" i="6"/>
  <c r="X36" i="6"/>
  <c r="U36" i="6"/>
  <c r="W36" i="6"/>
  <c r="O20" i="6"/>
  <c r="C20" i="6"/>
  <c r="E20" i="6"/>
  <c r="H20" i="6"/>
  <c r="J20" i="6"/>
  <c r="K20" i="6"/>
  <c r="D20" i="6"/>
  <c r="G20" i="6"/>
  <c r="L20" i="6"/>
  <c r="N20" i="6"/>
  <c r="P20" i="6"/>
  <c r="M20" i="6"/>
  <c r="I20" i="6"/>
  <c r="F20" i="6"/>
  <c r="N17" i="6"/>
  <c r="S50" i="6"/>
  <c r="V50" i="6"/>
  <c r="T50" i="6"/>
  <c r="U50" i="6"/>
  <c r="O50" i="6"/>
  <c r="R17" i="6"/>
  <c r="E21" i="6"/>
  <c r="D21" i="6"/>
  <c r="O21" i="6"/>
  <c r="F21" i="6"/>
  <c r="I21" i="6"/>
  <c r="H21" i="6"/>
  <c r="P21" i="6"/>
  <c r="N21" i="6"/>
  <c r="Q21" i="6"/>
  <c r="G21" i="6"/>
  <c r="J21" i="6"/>
  <c r="M21" i="6"/>
  <c r="L21" i="6"/>
  <c r="K21" i="6"/>
  <c r="Q50" i="6"/>
  <c r="P50" i="6"/>
  <c r="AD40" i="13"/>
  <c r="Y36" i="14" s="1"/>
  <c r="AC40" i="13"/>
  <c r="X36" i="14" s="1"/>
  <c r="V40" i="13"/>
  <c r="Q36" i="14" s="1"/>
  <c r="U40" i="13"/>
  <c r="P36" i="14" s="1"/>
  <c r="AE40" i="13"/>
  <c r="Z36" i="14" s="1"/>
  <c r="AA40" i="13"/>
  <c r="V36" i="14" s="1"/>
  <c r="X40" i="13"/>
  <c r="S36" i="14" s="1"/>
  <c r="W40" i="13"/>
  <c r="R36" i="14" s="1"/>
  <c r="F69" i="13"/>
  <c r="F19" i="13"/>
  <c r="AD38" i="13"/>
  <c r="AC38" i="13"/>
  <c r="AE38" i="13"/>
  <c r="P19" i="13"/>
  <c r="P69" i="13"/>
  <c r="N31" i="13"/>
  <c r="I27" i="14" s="1"/>
  <c r="S31" i="13"/>
  <c r="N27" i="14" s="1"/>
  <c r="T31" i="13"/>
  <c r="O27" i="14" s="1"/>
  <c r="U31" i="13"/>
  <c r="P27" i="14" s="1"/>
  <c r="R31" i="13"/>
  <c r="M27" i="14" s="1"/>
  <c r="J31" i="13"/>
  <c r="K31" i="13"/>
  <c r="F27" i="14" s="1"/>
  <c r="V31" i="13"/>
  <c r="L31" i="13"/>
  <c r="G27" i="14" s="1"/>
  <c r="M31" i="13"/>
  <c r="H27" i="14" s="1"/>
  <c r="P31" i="13"/>
  <c r="K27" i="14" s="1"/>
  <c r="Q31" i="13"/>
  <c r="L27" i="14" s="1"/>
  <c r="O31" i="13"/>
  <c r="J27" i="14" s="1"/>
  <c r="G13" i="18"/>
  <c r="C21" i="13"/>
  <c r="C60" i="13" s="1"/>
  <c r="C69" i="13"/>
  <c r="C19" i="13"/>
  <c r="T40" i="13"/>
  <c r="AG40" i="13"/>
  <c r="AB36" i="14" s="1"/>
  <c r="AE39" i="13"/>
  <c r="Z35" i="14" s="1"/>
  <c r="AF39" i="13"/>
  <c r="AD39" i="13"/>
  <c r="Y35" i="14" s="1"/>
  <c r="O32" i="13"/>
  <c r="J28" i="14" s="1"/>
  <c r="Q32" i="13"/>
  <c r="L28" i="14" s="1"/>
  <c r="R32" i="13"/>
  <c r="M28" i="14" s="1"/>
  <c r="X10" i="13"/>
  <c r="Z28" i="11"/>
  <c r="AA28" i="11" s="1"/>
  <c r="X11" i="12"/>
  <c r="Z16" i="11"/>
  <c r="X13" i="13"/>
  <c r="Y17" i="6"/>
  <c r="Z16" i="6"/>
  <c r="Z17" i="6" s="1"/>
  <c r="AB34" i="3"/>
  <c r="AE40" i="1"/>
  <c r="AF40" i="1" s="1"/>
  <c r="G7" i="18"/>
  <c r="J7" i="18"/>
  <c r="K7" i="18" s="1"/>
  <c r="Z28" i="3"/>
  <c r="Z32" i="3" s="1"/>
  <c r="Z33" i="3" s="1"/>
  <c r="Z35" i="3" s="1"/>
  <c r="AO63" i="3" s="1"/>
  <c r="AC10" i="8"/>
  <c r="AC37" i="8"/>
  <c r="V24" i="16"/>
  <c r="V8" i="16" s="1"/>
  <c r="AA8" i="17" s="1"/>
  <c r="U15" i="13"/>
  <c r="V9" i="13"/>
  <c r="V8" i="12"/>
  <c r="V12" i="12" s="1"/>
  <c r="V14" i="12" s="1"/>
  <c r="X34" i="11"/>
  <c r="AC27" i="17" s="1"/>
  <c r="W16" i="16"/>
  <c r="D55" i="18" s="1"/>
  <c r="D63" i="18" s="1"/>
  <c r="E63" i="18" s="1"/>
  <c r="AB50" i="17"/>
  <c r="AB27" i="17"/>
  <c r="U24" i="15"/>
  <c r="U12" i="15" s="1"/>
  <c r="U12" i="13"/>
  <c r="U14" i="13" s="1"/>
  <c r="X50" i="6"/>
  <c r="W50" i="6"/>
  <c r="W17" i="6"/>
  <c r="AB50" i="6"/>
  <c r="X17" i="6"/>
  <c r="AA50" i="6"/>
  <c r="Y50" i="6"/>
  <c r="Z50" i="6"/>
  <c r="Z27" i="2"/>
  <c r="Z29" i="2" s="1"/>
  <c r="Z29" i="10" s="1"/>
  <c r="Z12" i="10" s="1"/>
  <c r="Z36" i="17" s="1"/>
  <c r="Y24" i="3"/>
  <c r="Y26" i="3" s="1"/>
  <c r="Y28" i="3" s="1"/>
  <c r="Y32" i="3" s="1"/>
  <c r="Y33" i="3" s="1"/>
  <c r="Y35" i="3" s="1"/>
  <c r="AN62" i="3" s="1"/>
  <c r="AA27" i="2"/>
  <c r="AB10" i="8"/>
  <c r="AB37" i="8"/>
  <c r="AB27" i="2"/>
  <c r="AB29" i="2" s="1"/>
  <c r="AB29" i="10" s="1"/>
  <c r="AB12" i="10" s="1"/>
  <c r="AA24" i="3"/>
  <c r="AA26" i="3" s="1"/>
  <c r="AA28" i="3" s="1"/>
  <c r="AA32" i="3" s="1"/>
  <c r="AA33" i="3" s="1"/>
  <c r="AE10" i="8"/>
  <c r="AE37" i="8"/>
  <c r="AB13" i="3"/>
  <c r="AB15" i="3" s="1"/>
  <c r="AB17" i="3" s="1"/>
  <c r="AB31" i="3" s="1"/>
  <c r="AD26" i="2"/>
  <c r="AC13" i="3"/>
  <c r="AC15" i="3" s="1"/>
  <c r="AC17" i="3" s="1"/>
  <c r="AC31" i="3" s="1"/>
  <c r="T69" i="13"/>
  <c r="T19" i="13"/>
  <c r="R28" i="13"/>
  <c r="S28" i="13"/>
  <c r="T28" i="13"/>
  <c r="N28" i="13"/>
  <c r="O28" i="13"/>
  <c r="P28" i="13"/>
  <c r="Q28" i="13"/>
  <c r="J28" i="13"/>
  <c r="K28" i="13"/>
  <c r="L28" i="13"/>
  <c r="M28" i="13"/>
  <c r="G28" i="13"/>
  <c r="H28" i="13"/>
  <c r="I28" i="13"/>
  <c r="L33" i="3"/>
  <c r="L100" i="3" s="1"/>
  <c r="G100" i="3"/>
  <c r="G35" i="3"/>
  <c r="R44" i="3" s="1"/>
  <c r="W100" i="3"/>
  <c r="C40" i="17"/>
  <c r="V33" i="3"/>
  <c r="V100" i="3" s="1"/>
  <c r="R33" i="3"/>
  <c r="R100" i="3" s="1"/>
  <c r="L31" i="4"/>
  <c r="Q75" i="3"/>
  <c r="L35" i="4"/>
  <c r="V35" i="3"/>
  <c r="AD27" i="2"/>
  <c r="AC24" i="3"/>
  <c r="AC26" i="3" s="1"/>
  <c r="AC28" i="3" s="1"/>
  <c r="AC32" i="3" s="1"/>
  <c r="H19" i="13"/>
  <c r="H69" i="13"/>
  <c r="U22" i="15"/>
  <c r="V29" i="11"/>
  <c r="D19" i="13"/>
  <c r="D69" i="13"/>
  <c r="E21" i="13"/>
  <c r="E60" i="13" s="1"/>
  <c r="G21" i="13"/>
  <c r="G60" i="13" s="1"/>
  <c r="I21" i="13"/>
  <c r="I60" i="13" s="1"/>
  <c r="D21" i="13"/>
  <c r="D60" i="13" s="1"/>
  <c r="F21" i="13"/>
  <c r="F60" i="13" s="1"/>
  <c r="H21" i="13"/>
  <c r="H60" i="13" s="1"/>
  <c r="J21" i="13"/>
  <c r="J60" i="13" s="1"/>
  <c r="K21" i="13"/>
  <c r="K60" i="13" s="1"/>
  <c r="L21" i="13"/>
  <c r="L60" i="13" s="1"/>
  <c r="N21" i="13"/>
  <c r="N60" i="13" s="1"/>
  <c r="P21" i="13"/>
  <c r="P60" i="13" s="1"/>
  <c r="M21" i="13"/>
  <c r="M60" i="13" s="1"/>
  <c r="R21" i="13"/>
  <c r="R60" i="13" s="1"/>
  <c r="O21" i="13"/>
  <c r="O60" i="13" s="1"/>
  <c r="S21" i="13"/>
  <c r="S60" i="13" s="1"/>
  <c r="Q21" i="13"/>
  <c r="Q60" i="13" s="1"/>
  <c r="T21" i="13"/>
  <c r="T60" i="13" s="1"/>
  <c r="Z27" i="11"/>
  <c r="AA27" i="11" s="1"/>
  <c r="AE22" i="2"/>
  <c r="AE24" i="2" s="1"/>
  <c r="G26" i="13"/>
  <c r="L69" i="13"/>
  <c r="L19" i="13"/>
  <c r="N19" i="13"/>
  <c r="N69" i="13"/>
  <c r="J35" i="3"/>
  <c r="P34" i="13"/>
  <c r="K30" i="14" s="1"/>
  <c r="R34" i="13"/>
  <c r="M30" i="14" s="1"/>
  <c r="T34" i="13"/>
  <c r="O30" i="14" s="1"/>
  <c r="V34" i="13"/>
  <c r="Q30" i="14" s="1"/>
  <c r="Z34" i="13"/>
  <c r="S34" i="13"/>
  <c r="N30" i="14" s="1"/>
  <c r="W34" i="13"/>
  <c r="R30" i="14" s="1"/>
  <c r="AA34" i="13"/>
  <c r="N34" i="13"/>
  <c r="X34" i="13"/>
  <c r="S30" i="14" s="1"/>
  <c r="O34" i="13"/>
  <c r="J30" i="14" s="1"/>
  <c r="Q34" i="13"/>
  <c r="L30" i="14" s="1"/>
  <c r="U34" i="13"/>
  <c r="P30" i="14" s="1"/>
  <c r="Y34" i="13"/>
  <c r="T30" i="14" s="1"/>
  <c r="R38" i="13"/>
  <c r="T38" i="13"/>
  <c r="O34" i="14" s="1"/>
  <c r="V38" i="13"/>
  <c r="Q34" i="14" s="1"/>
  <c r="X38" i="13"/>
  <c r="S34" i="14" s="1"/>
  <c r="Z38" i="13"/>
  <c r="U34" i="14" s="1"/>
  <c r="AB38" i="13"/>
  <c r="W34" i="14" s="1"/>
  <c r="S38" i="13"/>
  <c r="N34" i="14" s="1"/>
  <c r="U38" i="13"/>
  <c r="P34" i="14" s="1"/>
  <c r="W38" i="13"/>
  <c r="R34" i="14" s="1"/>
  <c r="Y38" i="13"/>
  <c r="T34" i="14" s="1"/>
  <c r="AA38" i="13"/>
  <c r="V34" i="14" s="1"/>
  <c r="W39" i="13"/>
  <c r="R35" i="14" s="1"/>
  <c r="Y39" i="13"/>
  <c r="T35" i="14" s="1"/>
  <c r="V39" i="13"/>
  <c r="Q35" i="14" s="1"/>
  <c r="X39" i="13"/>
  <c r="S35" i="14" s="1"/>
  <c r="S44" i="3"/>
  <c r="T44" i="3"/>
  <c r="N44" i="3"/>
  <c r="P44" i="3"/>
  <c r="Q44" i="3"/>
  <c r="J44" i="3"/>
  <c r="L44" i="3"/>
  <c r="M44" i="3"/>
  <c r="G44" i="3"/>
  <c r="I44" i="3"/>
  <c r="U35" i="3" l="1"/>
  <c r="U100" i="3"/>
  <c r="AG35" i="14"/>
  <c r="X100" i="3"/>
  <c r="S32" i="13"/>
  <c r="N28" i="14" s="1"/>
  <c r="M32" i="13"/>
  <c r="H28" i="14" s="1"/>
  <c r="W32" i="13"/>
  <c r="K32" i="13"/>
  <c r="Z13" i="11"/>
  <c r="H33" i="3"/>
  <c r="H100" i="3" s="1"/>
  <c r="P26" i="36"/>
  <c r="P22" i="36"/>
  <c r="R22" i="36"/>
  <c r="R26" i="36"/>
  <c r="T22" i="36"/>
  <c r="T26" i="36"/>
  <c r="AD22" i="36"/>
  <c r="AD26" i="36"/>
  <c r="C100" i="3"/>
  <c r="AA29" i="2"/>
  <c r="AA29" i="10" s="1"/>
  <c r="AA12" i="10" s="1"/>
  <c r="X9" i="12"/>
  <c r="V32" i="13"/>
  <c r="Q28" i="14" s="1"/>
  <c r="U32" i="13"/>
  <c r="P28" i="14" s="1"/>
  <c r="N32" i="13"/>
  <c r="I28" i="14" s="1"/>
  <c r="R29" i="2"/>
  <c r="R29" i="10" s="1"/>
  <c r="R12" i="10" s="1"/>
  <c r="R36" i="17" s="1"/>
  <c r="AG32" i="14"/>
  <c r="AC26" i="36"/>
  <c r="AC22" i="36"/>
  <c r="K26" i="36"/>
  <c r="K22" i="36"/>
  <c r="J22" i="36"/>
  <c r="J26" i="36"/>
  <c r="L32" i="13"/>
  <c r="G28" i="14" s="1"/>
  <c r="T32" i="13"/>
  <c r="O28" i="14" s="1"/>
  <c r="AG36" i="14"/>
  <c r="E55" i="18"/>
  <c r="E24" i="18"/>
  <c r="AN42" i="6"/>
  <c r="AK42" i="6"/>
  <c r="AL42" i="6"/>
  <c r="AM42" i="6"/>
  <c r="H7" i="18"/>
  <c r="U29" i="9"/>
  <c r="V29" i="9"/>
  <c r="AT37" i="6"/>
  <c r="AU37" i="6" s="1"/>
  <c r="AT30" i="6"/>
  <c r="AU30" i="6" s="1"/>
  <c r="AT27" i="6"/>
  <c r="AU27" i="6" s="1"/>
  <c r="J24" i="6"/>
  <c r="L24" i="6"/>
  <c r="H24" i="6"/>
  <c r="AT32" i="6"/>
  <c r="AU32" i="6" s="1"/>
  <c r="AO43" i="6"/>
  <c r="AN43" i="6"/>
  <c r="T39" i="13"/>
  <c r="O35" i="14" s="1"/>
  <c r="U39" i="13"/>
  <c r="P35" i="14" s="1"/>
  <c r="AB39" i="13"/>
  <c r="W35" i="14" s="1"/>
  <c r="Z39" i="13"/>
  <c r="U35" i="14" s="1"/>
  <c r="AA39" i="13"/>
  <c r="V35" i="14" s="1"/>
  <c r="S39" i="13"/>
  <c r="S30" i="13"/>
  <c r="N26" i="14" s="1"/>
  <c r="F26" i="13"/>
  <c r="P30" i="13"/>
  <c r="K26" i="14" s="1"/>
  <c r="N26" i="13"/>
  <c r="O26" i="13"/>
  <c r="L30" i="13"/>
  <c r="G26" i="14" s="1"/>
  <c r="H26" i="13"/>
  <c r="C22" i="14" s="1"/>
  <c r="I26" i="13"/>
  <c r="D10" i="14" s="1"/>
  <c r="K30" i="13"/>
  <c r="F26" i="14" s="1"/>
  <c r="AM36" i="13"/>
  <c r="AN36" i="13" s="1"/>
  <c r="M26" i="13"/>
  <c r="H10" i="14" s="1"/>
  <c r="J30" i="13"/>
  <c r="E26" i="14" s="1"/>
  <c r="N33" i="3"/>
  <c r="L35" i="3"/>
  <c r="W49" i="3" s="1"/>
  <c r="R35" i="3"/>
  <c r="AA55" i="3" s="1"/>
  <c r="V67" i="4" s="1"/>
  <c r="K35" i="3"/>
  <c r="O35" i="3"/>
  <c r="AA16" i="11"/>
  <c r="Y11" i="12"/>
  <c r="AA30" i="9"/>
  <c r="V30" i="9"/>
  <c r="W29" i="9"/>
  <c r="N24" i="6"/>
  <c r="R24" i="6"/>
  <c r="O24" i="6"/>
  <c r="AT39" i="6"/>
  <c r="AU39" i="6" s="1"/>
  <c r="P24" i="6"/>
  <c r="AT38" i="6"/>
  <c r="AU38" i="6" s="1"/>
  <c r="AT25" i="6"/>
  <c r="AU25" i="6" s="1"/>
  <c r="AT22" i="6"/>
  <c r="AU22" i="6" s="1"/>
  <c r="AT28" i="6"/>
  <c r="AU28" i="6" s="1"/>
  <c r="S24" i="6"/>
  <c r="Q24" i="6"/>
  <c r="M24" i="6"/>
  <c r="M47" i="6" s="1"/>
  <c r="P18" i="10" s="1"/>
  <c r="P43" i="17" s="1"/>
  <c r="G24" i="6"/>
  <c r="K24" i="6"/>
  <c r="AT34" i="6"/>
  <c r="AU34" i="6" s="1"/>
  <c r="AT23" i="6"/>
  <c r="AU23" i="6" s="1"/>
  <c r="T30" i="13"/>
  <c r="O26" i="14" s="1"/>
  <c r="Q30" i="13"/>
  <c r="L26" i="14" s="1"/>
  <c r="K26" i="13"/>
  <c r="F22" i="14" s="1"/>
  <c r="E26" i="13"/>
  <c r="L26" i="13"/>
  <c r="G22" i="14" s="1"/>
  <c r="I30" i="13"/>
  <c r="D26" i="14" s="1"/>
  <c r="R30" i="13"/>
  <c r="M26" i="14" s="1"/>
  <c r="P26" i="13"/>
  <c r="K10" i="14" s="1"/>
  <c r="J26" i="13"/>
  <c r="E10" i="14" s="1"/>
  <c r="U30" i="13"/>
  <c r="P26" i="14" s="1"/>
  <c r="O30" i="13"/>
  <c r="J26" i="14" s="1"/>
  <c r="M30" i="13"/>
  <c r="H26" i="14" s="1"/>
  <c r="G37" i="3"/>
  <c r="G91" i="3" s="1"/>
  <c r="Q35" i="3"/>
  <c r="Z54" i="3" s="1"/>
  <c r="U66" i="4" s="1"/>
  <c r="Q100" i="3"/>
  <c r="O52" i="3"/>
  <c r="T52" i="3"/>
  <c r="O64" i="4" s="1"/>
  <c r="Y52" i="3"/>
  <c r="T64" i="4" s="1"/>
  <c r="Q52" i="3"/>
  <c r="L64" i="4" s="1"/>
  <c r="H35" i="3"/>
  <c r="S45" i="3" s="1"/>
  <c r="D37" i="3"/>
  <c r="D91" i="3" s="1"/>
  <c r="F33" i="3"/>
  <c r="J37" i="3" s="1"/>
  <c r="J91" i="3" s="1"/>
  <c r="V48" i="3"/>
  <c r="Q43" i="4" s="1"/>
  <c r="X52" i="3"/>
  <c r="S64" i="4" s="1"/>
  <c r="P52" i="3"/>
  <c r="K64" i="4" s="1"/>
  <c r="S49" i="3"/>
  <c r="N61" i="4" s="1"/>
  <c r="AA13" i="11"/>
  <c r="AJ75" i="4"/>
  <c r="N35" i="3"/>
  <c r="V51" i="3" s="1"/>
  <c r="Q63" i="4" s="1"/>
  <c r="N100" i="3"/>
  <c r="Y41" i="13"/>
  <c r="U41" i="13"/>
  <c r="X41" i="13"/>
  <c r="AA41" i="13"/>
  <c r="W41" i="13"/>
  <c r="Z41" i="13"/>
  <c r="V41" i="13"/>
  <c r="AL41" i="6"/>
  <c r="AM41" i="6"/>
  <c r="S35" i="3"/>
  <c r="S100" i="3"/>
  <c r="L49" i="3"/>
  <c r="W37" i="3"/>
  <c r="W91" i="3" s="1"/>
  <c r="K37" i="3"/>
  <c r="K91" i="3" s="1"/>
  <c r="T35" i="3"/>
  <c r="X57" i="3" s="1"/>
  <c r="S69" i="4" s="1"/>
  <c r="I35" i="3"/>
  <c r="Q46" i="3" s="1"/>
  <c r="L41" i="4" s="1"/>
  <c r="L58" i="4" s="1"/>
  <c r="AH40" i="6"/>
  <c r="AL40" i="6"/>
  <c r="AI40" i="6"/>
  <c r="AJ40" i="6"/>
  <c r="AK40" i="6"/>
  <c r="AC42" i="6"/>
  <c r="AJ42" i="6"/>
  <c r="Y29" i="9"/>
  <c r="AF29" i="9"/>
  <c r="AF30" i="9"/>
  <c r="T34" i="10"/>
  <c r="T17" i="10" s="1"/>
  <c r="T42" i="17" s="1"/>
  <c r="AC29" i="9"/>
  <c r="Z30" i="9"/>
  <c r="M29" i="2"/>
  <c r="M29" i="10" s="1"/>
  <c r="M12" i="10" s="1"/>
  <c r="M36" i="17" s="1"/>
  <c r="W48" i="3"/>
  <c r="R43" i="4" s="1"/>
  <c r="H44" i="3"/>
  <c r="C12" i="4" s="1"/>
  <c r="K44" i="3"/>
  <c r="F39" i="4" s="1"/>
  <c r="O44" i="3"/>
  <c r="J24" i="4" s="1"/>
  <c r="O49" i="3"/>
  <c r="J61" i="4" s="1"/>
  <c r="C35" i="3"/>
  <c r="I37" i="3"/>
  <c r="I91" i="3" s="1"/>
  <c r="L37" i="3"/>
  <c r="L91" i="3" s="1"/>
  <c r="E35" i="3"/>
  <c r="AT26" i="6"/>
  <c r="AU26" i="6" s="1"/>
  <c r="AD29" i="9"/>
  <c r="Z29" i="9"/>
  <c r="U30" i="9"/>
  <c r="T29" i="9"/>
  <c r="AB30" i="9"/>
  <c r="W30" i="9"/>
  <c r="AE30" i="9"/>
  <c r="AC30" i="9"/>
  <c r="AE29" i="9"/>
  <c r="X41" i="8"/>
  <c r="X13" i="8" s="1"/>
  <c r="G13" i="19"/>
  <c r="AD30" i="9"/>
  <c r="C12" i="10"/>
  <c r="C33" i="10"/>
  <c r="D100" i="3"/>
  <c r="D35" i="3"/>
  <c r="G29" i="2"/>
  <c r="G29" i="10" s="1"/>
  <c r="G12" i="10" s="1"/>
  <c r="G36" i="17" s="1"/>
  <c r="X29" i="9"/>
  <c r="O37" i="3"/>
  <c r="O91" i="3" s="1"/>
  <c r="E37" i="3"/>
  <c r="E91" i="3" s="1"/>
  <c r="H37" i="3"/>
  <c r="H91" i="3" s="1"/>
  <c r="AE43" i="6"/>
  <c r="L47" i="6"/>
  <c r="O18" i="10" s="1"/>
  <c r="O43" i="17" s="1"/>
  <c r="AA29" i="9"/>
  <c r="AG27" i="9"/>
  <c r="T30" i="9"/>
  <c r="Y30" i="9"/>
  <c r="X30" i="9"/>
  <c r="J15" i="18"/>
  <c r="K15" i="18" s="1"/>
  <c r="G15" i="18"/>
  <c r="H15" i="18" s="1"/>
  <c r="AT33" i="6"/>
  <c r="AU33" i="6" s="1"/>
  <c r="AB29" i="9"/>
  <c r="AI43" i="6"/>
  <c r="AB24" i="3"/>
  <c r="AB26" i="3" s="1"/>
  <c r="AB28" i="3" s="1"/>
  <c r="AB32" i="3" s="1"/>
  <c r="AB33" i="3" s="1"/>
  <c r="AB35" i="3" s="1"/>
  <c r="AR65" i="3" s="1"/>
  <c r="AK43" i="6"/>
  <c r="AE42" i="6"/>
  <c r="AT36" i="6"/>
  <c r="AU36" i="6" s="1"/>
  <c r="I47" i="6"/>
  <c r="L18" i="10" s="1"/>
  <c r="L43" i="17" s="1"/>
  <c r="J47" i="6"/>
  <c r="M18" i="10" s="1"/>
  <c r="M43" i="17" s="1"/>
  <c r="AG43" i="6"/>
  <c r="AH43" i="6"/>
  <c r="AC43" i="6"/>
  <c r="F47" i="6"/>
  <c r="I18" i="10" s="1"/>
  <c r="I43" i="17" s="1"/>
  <c r="K47" i="6"/>
  <c r="N18" i="10" s="1"/>
  <c r="N43" i="17" s="1"/>
  <c r="C47" i="6"/>
  <c r="AT20" i="6"/>
  <c r="AU20" i="6" s="1"/>
  <c r="U35" i="6"/>
  <c r="X35" i="6"/>
  <c r="W35" i="6"/>
  <c r="Z35" i="6"/>
  <c r="AF35" i="6"/>
  <c r="Y35" i="6"/>
  <c r="AB35" i="6"/>
  <c r="AA35" i="6"/>
  <c r="AD35" i="6"/>
  <c r="AE35" i="6"/>
  <c r="T35" i="6"/>
  <c r="S35" i="6"/>
  <c r="V35" i="6"/>
  <c r="AC35" i="6"/>
  <c r="W31" i="6"/>
  <c r="W47" i="6" s="1"/>
  <c r="Z18" i="10" s="1"/>
  <c r="Z43" i="17" s="1"/>
  <c r="Z31" i="6"/>
  <c r="P31" i="6"/>
  <c r="R31" i="6"/>
  <c r="R47" i="6" s="1"/>
  <c r="U18" i="10" s="1"/>
  <c r="U43" i="17" s="1"/>
  <c r="N31" i="6"/>
  <c r="Q31" i="6"/>
  <c r="T31" i="6"/>
  <c r="U31" i="6"/>
  <c r="S31" i="6"/>
  <c r="V31" i="6"/>
  <c r="Y31" i="6"/>
  <c r="O31" i="6"/>
  <c r="X31" i="6"/>
  <c r="AJ43" i="6"/>
  <c r="H47" i="6"/>
  <c r="K18" i="10" s="1"/>
  <c r="K43" i="17" s="1"/>
  <c r="AT21" i="6"/>
  <c r="AU21" i="6" s="1"/>
  <c r="D47" i="6"/>
  <c r="G18" i="10" s="1"/>
  <c r="G43" i="17" s="1"/>
  <c r="E47" i="6"/>
  <c r="H18" i="10" s="1"/>
  <c r="H43" i="17" s="1"/>
  <c r="R28" i="14"/>
  <c r="AG28" i="14" s="1"/>
  <c r="Q27" i="14"/>
  <c r="F28" i="14"/>
  <c r="W37" i="13"/>
  <c r="R33" i="14" s="1"/>
  <c r="R37" i="13"/>
  <c r="M33" i="14" s="1"/>
  <c r="Z37" i="13"/>
  <c r="U33" i="14" s="1"/>
  <c r="Y37" i="13"/>
  <c r="T33" i="14" s="1"/>
  <c r="AA37" i="13"/>
  <c r="V33" i="14" s="1"/>
  <c r="X37" i="13"/>
  <c r="S33" i="14" s="1"/>
  <c r="T37" i="13"/>
  <c r="O33" i="14" s="1"/>
  <c r="AC37" i="13"/>
  <c r="AB37" i="13"/>
  <c r="W33" i="14" s="1"/>
  <c r="S37" i="13"/>
  <c r="N33" i="14" s="1"/>
  <c r="AD37" i="13"/>
  <c r="U37" i="13"/>
  <c r="P33" i="14" s="1"/>
  <c r="V37" i="13"/>
  <c r="Q33" i="14" s="1"/>
  <c r="Q37" i="13"/>
  <c r="I27" i="13"/>
  <c r="K27" i="13"/>
  <c r="F27" i="13"/>
  <c r="H27" i="13"/>
  <c r="Q27" i="13"/>
  <c r="S27" i="13"/>
  <c r="N27" i="13"/>
  <c r="P27" i="13"/>
  <c r="J27" i="13"/>
  <c r="L27" i="13"/>
  <c r="G27" i="13"/>
  <c r="M27" i="13"/>
  <c r="R27" i="13"/>
  <c r="O27" i="13"/>
  <c r="O24" i="13"/>
  <c r="F24" i="13"/>
  <c r="H24" i="13"/>
  <c r="E24" i="13"/>
  <c r="I24" i="13"/>
  <c r="C24" i="13"/>
  <c r="P24" i="13"/>
  <c r="K24" i="13"/>
  <c r="J24" i="13"/>
  <c r="G24" i="13"/>
  <c r="N24" i="13"/>
  <c r="L24" i="13"/>
  <c r="M24" i="13"/>
  <c r="D24" i="13"/>
  <c r="O36" i="14"/>
  <c r="AM40" i="13"/>
  <c r="AN40" i="13" s="1"/>
  <c r="AM31" i="13"/>
  <c r="AN31" i="13" s="1"/>
  <c r="E27" i="14"/>
  <c r="Y13" i="13"/>
  <c r="AH42" i="6"/>
  <c r="AI42" i="6"/>
  <c r="AA42" i="6"/>
  <c r="AD42" i="6"/>
  <c r="AB42" i="6"/>
  <c r="AG42" i="6"/>
  <c r="AC41" i="6"/>
  <c r="AD43" i="6"/>
  <c r="AF43" i="6"/>
  <c r="AA43" i="6"/>
  <c r="AT43" i="6" s="1"/>
  <c r="AM43" i="6"/>
  <c r="Z42" i="6"/>
  <c r="AF42" i="6"/>
  <c r="AL43" i="6"/>
  <c r="AB43" i="6"/>
  <c r="AG40" i="1"/>
  <c r="AA16" i="6"/>
  <c r="AA17" i="6" s="1"/>
  <c r="AC34" i="3"/>
  <c r="Y31" i="11"/>
  <c r="X18" i="13" s="1"/>
  <c r="AE41" i="6"/>
  <c r="AK62" i="3"/>
  <c r="AF74" i="4" s="1"/>
  <c r="AG62" i="3"/>
  <c r="AB74" i="4" s="1"/>
  <c r="AM62" i="3"/>
  <c r="AH74" i="4" s="1"/>
  <c r="AI62" i="3"/>
  <c r="AD74" i="4" s="1"/>
  <c r="AL62" i="3"/>
  <c r="AG74" i="4" s="1"/>
  <c r="AH62" i="3"/>
  <c r="AC74" i="4" s="1"/>
  <c r="AI74" i="4"/>
  <c r="AJ62" i="3"/>
  <c r="AE74" i="4" s="1"/>
  <c r="V24" i="15"/>
  <c r="V12" i="15" s="1"/>
  <c r="AB36" i="17" s="1"/>
  <c r="D9" i="18" s="1"/>
  <c r="V12" i="13"/>
  <c r="V14" i="13" s="1"/>
  <c r="W19" i="11"/>
  <c r="U16" i="13"/>
  <c r="AA36" i="17"/>
  <c r="E9" i="18" s="1"/>
  <c r="AC50" i="17"/>
  <c r="X16" i="16"/>
  <c r="Y34" i="11"/>
  <c r="AD27" i="17" s="1"/>
  <c r="AF40" i="6"/>
  <c r="Y40" i="6"/>
  <c r="X40" i="6"/>
  <c r="AA40" i="6"/>
  <c r="AE40" i="6"/>
  <c r="Z40" i="6"/>
  <c r="AC40" i="6"/>
  <c r="AG40" i="6"/>
  <c r="AD40" i="6"/>
  <c r="AB40" i="6"/>
  <c r="AK41" i="6"/>
  <c r="AG41" i="6"/>
  <c r="AI41" i="6"/>
  <c r="Y41" i="6"/>
  <c r="AA41" i="6"/>
  <c r="AH41" i="6"/>
  <c r="AB41" i="6"/>
  <c r="Z41" i="6"/>
  <c r="AF41" i="13"/>
  <c r="AB41" i="13"/>
  <c r="AE41" i="13"/>
  <c r="AG41" i="13"/>
  <c r="AC41" i="13"/>
  <c r="AH41" i="13"/>
  <c r="AD41" i="13"/>
  <c r="AD41" i="6"/>
  <c r="AJ41" i="6"/>
  <c r="AF41" i="6"/>
  <c r="Z100" i="3"/>
  <c r="AA35" i="3"/>
  <c r="AQ64" i="3" s="1"/>
  <c r="AA100" i="3"/>
  <c r="AA62" i="3"/>
  <c r="V74" i="4" s="1"/>
  <c r="Z62" i="3"/>
  <c r="U74" i="4" s="1"/>
  <c r="AF62" i="3"/>
  <c r="Y100" i="3"/>
  <c r="AB62" i="3"/>
  <c r="W74" i="4" s="1"/>
  <c r="AC62" i="3"/>
  <c r="X74" i="4" s="1"/>
  <c r="AD62" i="3"/>
  <c r="Y74" i="4" s="1"/>
  <c r="AE62" i="3"/>
  <c r="AC33" i="3"/>
  <c r="AA37" i="3"/>
  <c r="AA91" i="3" s="1"/>
  <c r="AD29" i="2"/>
  <c r="AD29" i="10" s="1"/>
  <c r="AD12" i="10" s="1"/>
  <c r="C24" i="14"/>
  <c r="C12" i="14"/>
  <c r="H12" i="14"/>
  <c r="H24" i="14"/>
  <c r="F24" i="14"/>
  <c r="F12" i="14"/>
  <c r="L24" i="14"/>
  <c r="L12" i="14"/>
  <c r="J12" i="14"/>
  <c r="J24" i="14"/>
  <c r="O12" i="14"/>
  <c r="O24" i="14"/>
  <c r="M24" i="14"/>
  <c r="M12" i="14"/>
  <c r="D12" i="14"/>
  <c r="D24" i="14"/>
  <c r="AM28" i="13"/>
  <c r="AN28" i="13" s="1"/>
  <c r="G24" i="14"/>
  <c r="G12" i="14"/>
  <c r="E24" i="14"/>
  <c r="E12" i="14"/>
  <c r="K12" i="14"/>
  <c r="K24" i="14"/>
  <c r="I12" i="14"/>
  <c r="I24" i="14"/>
  <c r="N24" i="14"/>
  <c r="N12" i="14"/>
  <c r="N49" i="3"/>
  <c r="I61" i="4" s="1"/>
  <c r="Q49" i="3"/>
  <c r="L61" i="4" s="1"/>
  <c r="U49" i="3"/>
  <c r="X49" i="3"/>
  <c r="S44" i="4" s="1"/>
  <c r="T37" i="3"/>
  <c r="T91" i="3" s="1"/>
  <c r="M37" i="3"/>
  <c r="M91" i="3" s="1"/>
  <c r="N37" i="3"/>
  <c r="N91" i="3" s="1"/>
  <c r="M49" i="3"/>
  <c r="H44" i="4" s="1"/>
  <c r="R49" i="3"/>
  <c r="M44" i="4" s="1"/>
  <c r="P49" i="3"/>
  <c r="K61" i="4" s="1"/>
  <c r="V49" i="3"/>
  <c r="T49" i="3"/>
  <c r="O44" i="4" s="1"/>
  <c r="Y49" i="3"/>
  <c r="T44" i="4" s="1"/>
  <c r="T45" i="4" s="1"/>
  <c r="P100" i="3"/>
  <c r="X37" i="3"/>
  <c r="X91" i="3" s="1"/>
  <c r="V37" i="3"/>
  <c r="V91" i="3" s="1"/>
  <c r="Z37" i="3"/>
  <c r="Z91" i="3" s="1"/>
  <c r="AI61" i="3"/>
  <c r="AD73" i="4" s="1"/>
  <c r="AA61" i="3"/>
  <c r="V73" i="4" s="1"/>
  <c r="AD61" i="3"/>
  <c r="Y73" i="4" s="1"/>
  <c r="Z61" i="3"/>
  <c r="U73" i="4" s="1"/>
  <c r="AK61" i="3"/>
  <c r="AF73" i="4" s="1"/>
  <c r="AJ61" i="3"/>
  <c r="AE73" i="4" s="1"/>
  <c r="AG61" i="3"/>
  <c r="AB73" i="4" s="1"/>
  <c r="AL61" i="3"/>
  <c r="Y61" i="3"/>
  <c r="AC61" i="3"/>
  <c r="X73" i="4" s="1"/>
  <c r="AB61" i="3"/>
  <c r="W73" i="4" s="1"/>
  <c r="AH61" i="3"/>
  <c r="AC73" i="4" s="1"/>
  <c r="AF61" i="3"/>
  <c r="AA73" i="4" s="1"/>
  <c r="AE61" i="3"/>
  <c r="Z73" i="4" s="1"/>
  <c r="Y37" i="3"/>
  <c r="Y91" i="3" s="1"/>
  <c r="V54" i="3"/>
  <c r="Q66" i="4" s="1"/>
  <c r="AB54" i="3"/>
  <c r="W66" i="4" s="1"/>
  <c r="S54" i="3"/>
  <c r="N66" i="4" s="1"/>
  <c r="W54" i="3"/>
  <c r="R66" i="4" s="1"/>
  <c r="Z60" i="3"/>
  <c r="U72" i="4" s="1"/>
  <c r="AB60" i="3"/>
  <c r="W72" i="4" s="1"/>
  <c r="AD60" i="3"/>
  <c r="Y72" i="4" s="1"/>
  <c r="AF60" i="3"/>
  <c r="AA72" i="4" s="1"/>
  <c r="AH60" i="3"/>
  <c r="AC72" i="4" s="1"/>
  <c r="AJ60" i="3"/>
  <c r="AE72" i="4" s="1"/>
  <c r="Y60" i="3"/>
  <c r="T72" i="4" s="1"/>
  <c r="AC60" i="3"/>
  <c r="X72" i="4" s="1"/>
  <c r="AG60" i="3"/>
  <c r="AB72" i="4" s="1"/>
  <c r="AK60" i="3"/>
  <c r="AA60" i="3"/>
  <c r="V72" i="4" s="1"/>
  <c r="AI60" i="3"/>
  <c r="AD72" i="4" s="1"/>
  <c r="X60" i="3"/>
  <c r="AE60" i="3"/>
  <c r="Z72" i="4" s="1"/>
  <c r="P35" i="3"/>
  <c r="S53" i="3" s="1"/>
  <c r="N65" i="4" s="1"/>
  <c r="S37" i="3"/>
  <c r="S91" i="3" s="1"/>
  <c r="R37" i="3"/>
  <c r="R91" i="3" s="1"/>
  <c r="U37" i="3"/>
  <c r="U91" i="3" s="1"/>
  <c r="Q37" i="3"/>
  <c r="Q91" i="3" s="1"/>
  <c r="P37" i="3"/>
  <c r="P91" i="3" s="1"/>
  <c r="M100" i="3"/>
  <c r="M35" i="3"/>
  <c r="N45" i="3"/>
  <c r="I45" i="3"/>
  <c r="V58" i="3"/>
  <c r="Z58" i="3"/>
  <c r="U70" i="4" s="1"/>
  <c r="AD58" i="3"/>
  <c r="Y70" i="4" s="1"/>
  <c r="AH58" i="3"/>
  <c r="AC70" i="4" s="1"/>
  <c r="Y58" i="3"/>
  <c r="T70" i="4" s="1"/>
  <c r="AC58" i="3"/>
  <c r="X70" i="4" s="1"/>
  <c r="AG58" i="3"/>
  <c r="AB70" i="4" s="1"/>
  <c r="X58" i="3"/>
  <c r="S70" i="4" s="1"/>
  <c r="AF58" i="3"/>
  <c r="AA70" i="4" s="1"/>
  <c r="AA58" i="3"/>
  <c r="V70" i="4" s="1"/>
  <c r="AE58" i="3"/>
  <c r="Z70" i="4" s="1"/>
  <c r="AB58" i="3"/>
  <c r="W70" i="4" s="1"/>
  <c r="W58" i="3"/>
  <c r="R70" i="4" s="1"/>
  <c r="AI58" i="3"/>
  <c r="H24" i="4"/>
  <c r="H12" i="4"/>
  <c r="H39" i="4"/>
  <c r="L39" i="4"/>
  <c r="L49" i="4" s="1"/>
  <c r="Q78" i="3" s="1"/>
  <c r="L24" i="4"/>
  <c r="L12" i="4"/>
  <c r="O39" i="4"/>
  <c r="O24" i="4"/>
  <c r="O12" i="4"/>
  <c r="M12" i="4"/>
  <c r="M39" i="4"/>
  <c r="M49" i="4" s="1"/>
  <c r="R78" i="3" s="1"/>
  <c r="M24" i="4"/>
  <c r="N35" i="14"/>
  <c r="Z34" i="14"/>
  <c r="V30" i="14"/>
  <c r="G44" i="4"/>
  <c r="L44" i="4"/>
  <c r="P44" i="4"/>
  <c r="P61" i="4"/>
  <c r="V47" i="3"/>
  <c r="P47" i="3"/>
  <c r="U47" i="3"/>
  <c r="O47" i="3"/>
  <c r="T47" i="3"/>
  <c r="L47" i="3"/>
  <c r="G42" i="4" s="1"/>
  <c r="N47" i="3"/>
  <c r="S47" i="3"/>
  <c r="K47" i="3"/>
  <c r="F42" i="4" s="1"/>
  <c r="M47" i="3"/>
  <c r="R47" i="3"/>
  <c r="J47" i="3"/>
  <c r="Q47" i="3"/>
  <c r="Q35" i="13"/>
  <c r="L31" i="14" s="1"/>
  <c r="S35" i="13"/>
  <c r="N31" i="14" s="1"/>
  <c r="U35" i="13"/>
  <c r="P31" i="14" s="1"/>
  <c r="W35" i="13"/>
  <c r="R31" i="14" s="1"/>
  <c r="Y35" i="13"/>
  <c r="T31" i="14" s="1"/>
  <c r="AA35" i="13"/>
  <c r="V31" i="14" s="1"/>
  <c r="P35" i="13"/>
  <c r="K31" i="14" s="1"/>
  <c r="R35" i="13"/>
  <c r="M31" i="14" s="1"/>
  <c r="T35" i="13"/>
  <c r="O31" i="14" s="1"/>
  <c r="V35" i="13"/>
  <c r="Q31" i="14" s="1"/>
  <c r="X35" i="13"/>
  <c r="S31" i="14" s="1"/>
  <c r="Z35" i="13"/>
  <c r="U31" i="14" s="1"/>
  <c r="AB35" i="13"/>
  <c r="O35" i="13"/>
  <c r="L10" i="14"/>
  <c r="L22" i="14"/>
  <c r="E40" i="3"/>
  <c r="I40" i="3"/>
  <c r="C40" i="3"/>
  <c r="C69" i="3" s="1"/>
  <c r="H40" i="3"/>
  <c r="G40" i="3"/>
  <c r="M40" i="3"/>
  <c r="K40" i="3"/>
  <c r="L40" i="3"/>
  <c r="O40" i="3"/>
  <c r="F40" i="3"/>
  <c r="N40" i="3"/>
  <c r="D40" i="3"/>
  <c r="J40" i="3"/>
  <c r="P40" i="3"/>
  <c r="AD57" i="3"/>
  <c r="Y69" i="4" s="1"/>
  <c r="Y55" i="3"/>
  <c r="T67" i="4" s="1"/>
  <c r="Z55" i="3"/>
  <c r="U67" i="4" s="1"/>
  <c r="M25" i="13"/>
  <c r="P25" i="13"/>
  <c r="F25" i="13"/>
  <c r="I25" i="13"/>
  <c r="L25" i="13"/>
  <c r="O25" i="13"/>
  <c r="E25" i="13"/>
  <c r="K25" i="13"/>
  <c r="D25" i="13"/>
  <c r="J25" i="13"/>
  <c r="H25" i="13"/>
  <c r="N25" i="13"/>
  <c r="G25" i="13"/>
  <c r="V22" i="15"/>
  <c r="W29" i="11"/>
  <c r="X26" i="11"/>
  <c r="I29" i="13"/>
  <c r="D25" i="14" s="1"/>
  <c r="K29" i="13"/>
  <c r="F25" i="14" s="1"/>
  <c r="M29" i="13"/>
  <c r="H25" i="14" s="1"/>
  <c r="O29" i="13"/>
  <c r="J25" i="14" s="1"/>
  <c r="Q29" i="13"/>
  <c r="L25" i="14" s="1"/>
  <c r="S29" i="13"/>
  <c r="H29" i="13"/>
  <c r="J29" i="13"/>
  <c r="E25" i="14" s="1"/>
  <c r="N29" i="13"/>
  <c r="I25" i="14" s="1"/>
  <c r="R29" i="13"/>
  <c r="L29" i="13"/>
  <c r="G25" i="14" s="1"/>
  <c r="P29" i="13"/>
  <c r="K25" i="14" s="1"/>
  <c r="T29" i="13"/>
  <c r="D24" i="4"/>
  <c r="D39" i="4"/>
  <c r="D12" i="4"/>
  <c r="G12" i="4"/>
  <c r="G39" i="4"/>
  <c r="G24" i="4"/>
  <c r="E39" i="4"/>
  <c r="E12" i="4"/>
  <c r="E24" i="4"/>
  <c r="K24" i="4"/>
  <c r="K12" i="4"/>
  <c r="K39" i="4"/>
  <c r="K49" i="4" s="1"/>
  <c r="P78" i="3" s="1"/>
  <c r="I24" i="4"/>
  <c r="I12" i="4"/>
  <c r="I39" i="4"/>
  <c r="I49" i="4" s="1"/>
  <c r="N78" i="3" s="1"/>
  <c r="N39" i="4"/>
  <c r="N49" i="4" s="1"/>
  <c r="N24" i="4"/>
  <c r="N12" i="4"/>
  <c r="AA35" i="14"/>
  <c r="J64" i="4"/>
  <c r="X34" i="14"/>
  <c r="AG34" i="14" s="1"/>
  <c r="Y34" i="14"/>
  <c r="AM38" i="13"/>
  <c r="AN38" i="13" s="1"/>
  <c r="M34" i="14"/>
  <c r="I30" i="14"/>
  <c r="AM34" i="13"/>
  <c r="AN34" i="13" s="1"/>
  <c r="U30" i="14"/>
  <c r="AG30" i="14" s="1"/>
  <c r="K44" i="4"/>
  <c r="Q44" i="4"/>
  <c r="Q61" i="4"/>
  <c r="O61" i="4"/>
  <c r="R61" i="4"/>
  <c r="R44" i="4"/>
  <c r="M33" i="13"/>
  <c r="R33" i="13"/>
  <c r="M29" i="14" s="1"/>
  <c r="O33" i="13"/>
  <c r="J29" i="14" s="1"/>
  <c r="U33" i="13"/>
  <c r="N33" i="13"/>
  <c r="I29" i="14" s="1"/>
  <c r="P33" i="13"/>
  <c r="K29" i="14" s="1"/>
  <c r="T33" i="13"/>
  <c r="O29" i="14" s="1"/>
  <c r="V33" i="13"/>
  <c r="X33" i="13"/>
  <c r="Q33" i="13"/>
  <c r="L29" i="14" s="1"/>
  <c r="S33" i="13"/>
  <c r="N29" i="14" s="1"/>
  <c r="W33" i="13"/>
  <c r="Y33" i="13"/>
  <c r="I22" i="14"/>
  <c r="I10" i="14"/>
  <c r="J10" i="14"/>
  <c r="J22" i="14"/>
  <c r="D22" i="14"/>
  <c r="Q53" i="3"/>
  <c r="L65" i="4" s="1"/>
  <c r="R53" i="3"/>
  <c r="M65" i="4" s="1"/>
  <c r="T53" i="3"/>
  <c r="O65" i="4" s="1"/>
  <c r="AD24" i="3"/>
  <c r="AD26" i="3" s="1"/>
  <c r="AD28" i="3" s="1"/>
  <c r="AD32" i="3" s="1"/>
  <c r="AD33" i="3" s="1"/>
  <c r="AE27" i="2"/>
  <c r="AE29" i="2" s="1"/>
  <c r="AE29" i="10" s="1"/>
  <c r="AE12" i="10" s="1"/>
  <c r="V25" i="16"/>
  <c r="AB63" i="3"/>
  <c r="W75" i="4" s="1"/>
  <c r="AC63" i="3"/>
  <c r="X75" i="4" s="1"/>
  <c r="AL63" i="3"/>
  <c r="AG75" i="4" s="1"/>
  <c r="AN63" i="3"/>
  <c r="AI75" i="4" s="1"/>
  <c r="AE63" i="3"/>
  <c r="Z75" i="4" s="1"/>
  <c r="AD63" i="3"/>
  <c r="AH63" i="3"/>
  <c r="AC75" i="4" s="1"/>
  <c r="AI63" i="3"/>
  <c r="AD75" i="4" s="1"/>
  <c r="AJ63" i="3"/>
  <c r="AE75" i="4" s="1"/>
  <c r="AK63" i="3"/>
  <c r="AF75" i="4" s="1"/>
  <c r="AM63" i="3"/>
  <c r="AH75" i="4" s="1"/>
  <c r="AG63" i="3"/>
  <c r="AB75" i="4" s="1"/>
  <c r="AF63" i="3"/>
  <c r="AA75" i="4" s="1"/>
  <c r="AA63" i="3"/>
  <c r="V75" i="4" s="1"/>
  <c r="N51" i="3"/>
  <c r="W59" i="3"/>
  <c r="Y59" i="3"/>
  <c r="T71" i="4" s="1"/>
  <c r="AA59" i="3"/>
  <c r="V71" i="4" s="1"/>
  <c r="AC59" i="3"/>
  <c r="X71" i="4" s="1"/>
  <c r="AE59" i="3"/>
  <c r="Z71" i="4" s="1"/>
  <c r="AG59" i="3"/>
  <c r="AB71" i="4" s="1"/>
  <c r="AI59" i="3"/>
  <c r="AD71" i="4" s="1"/>
  <c r="X59" i="3"/>
  <c r="S71" i="4" s="1"/>
  <c r="Z59" i="3"/>
  <c r="U71" i="4" s="1"/>
  <c r="AB59" i="3"/>
  <c r="W71" i="4" s="1"/>
  <c r="AD59" i="3"/>
  <c r="Y71" i="4" s="1"/>
  <c r="AF59" i="3"/>
  <c r="AA71" i="4" s="1"/>
  <c r="AH59" i="3"/>
  <c r="AC71" i="4" s="1"/>
  <c r="AJ59" i="3"/>
  <c r="S46" i="3"/>
  <c r="N41" i="4" s="1"/>
  <c r="N58" i="4" s="1"/>
  <c r="P46" i="3"/>
  <c r="K41" i="4" s="1"/>
  <c r="K58" i="4" s="1"/>
  <c r="L46" i="3"/>
  <c r="G41" i="4" s="1"/>
  <c r="Z51" i="3" l="1"/>
  <c r="M61" i="4"/>
  <c r="X55" i="3"/>
  <c r="S67" i="4" s="1"/>
  <c r="W55" i="3"/>
  <c r="R67" i="4" s="1"/>
  <c r="U57" i="3"/>
  <c r="J44" i="4"/>
  <c r="AN71" i="4"/>
  <c r="U51" i="3"/>
  <c r="P63" i="4" s="1"/>
  <c r="T51" i="3"/>
  <c r="O63" i="4" s="1"/>
  <c r="S55" i="3"/>
  <c r="U55" i="3"/>
  <c r="P67" i="4" s="1"/>
  <c r="AE57" i="3"/>
  <c r="Z69" i="4" s="1"/>
  <c r="E22" i="14"/>
  <c r="AN74" i="4"/>
  <c r="AM32" i="13"/>
  <c r="AN32" i="13" s="1"/>
  <c r="Y9" i="12"/>
  <c r="Y10" i="13"/>
  <c r="Y21" i="15"/>
  <c r="Y10" i="15" s="1"/>
  <c r="AE34" i="17" s="1"/>
  <c r="S51" i="3"/>
  <c r="N63" i="4" s="1"/>
  <c r="R51" i="3"/>
  <c r="M63" i="4" s="1"/>
  <c r="C10" i="14"/>
  <c r="AF55" i="3"/>
  <c r="AA67" i="4" s="1"/>
  <c r="AE55" i="3"/>
  <c r="AC57" i="3"/>
  <c r="X69" i="4" s="1"/>
  <c r="H22" i="14"/>
  <c r="AT42" i="6"/>
  <c r="AQ65" i="3"/>
  <c r="O47" i="6"/>
  <c r="R18" i="10" s="1"/>
  <c r="R43" i="17" s="1"/>
  <c r="AT24" i="6"/>
  <c r="AU24" i="6" s="1"/>
  <c r="P47" i="6"/>
  <c r="S18" i="10" s="1"/>
  <c r="S43" i="17" s="1"/>
  <c r="AP44" i="6"/>
  <c r="AO44" i="6"/>
  <c r="N47" i="6"/>
  <c r="Q18" i="10" s="1"/>
  <c r="Q43" i="17" s="1"/>
  <c r="AM39" i="13"/>
  <c r="AN39" i="13" s="1"/>
  <c r="G10" i="14"/>
  <c r="F10" i="14"/>
  <c r="AG10" i="14" s="1"/>
  <c r="K22" i="14"/>
  <c r="AM26" i="13"/>
  <c r="AN26" i="13" s="1"/>
  <c r="AM30" i="13"/>
  <c r="AN30" i="13" s="1"/>
  <c r="Q48" i="3"/>
  <c r="M48" i="3"/>
  <c r="U48" i="3"/>
  <c r="P48" i="3"/>
  <c r="L48" i="3"/>
  <c r="G43" i="4" s="1"/>
  <c r="L45" i="3"/>
  <c r="M45" i="3"/>
  <c r="H25" i="4" s="1"/>
  <c r="U46" i="3"/>
  <c r="O46" i="3"/>
  <c r="J41" i="4" s="1"/>
  <c r="J58" i="4" s="1"/>
  <c r="AB53" i="3"/>
  <c r="P53" i="3"/>
  <c r="Q60" i="4"/>
  <c r="AD55" i="3"/>
  <c r="Y67" i="4" s="1"/>
  <c r="V55" i="3"/>
  <c r="Q67" i="4" s="1"/>
  <c r="AC55" i="3"/>
  <c r="X67" i="4" s="1"/>
  <c r="N44" i="4"/>
  <c r="J12" i="4"/>
  <c r="F12" i="4"/>
  <c r="J45" i="3"/>
  <c r="E25" i="4" s="1"/>
  <c r="R45" i="3"/>
  <c r="M25" i="4" s="1"/>
  <c r="AP64" i="3"/>
  <c r="AL76" i="4"/>
  <c r="AL77" i="4" s="1"/>
  <c r="R48" i="3"/>
  <c r="T48" i="3"/>
  <c r="O60" i="4" s="1"/>
  <c r="X48" i="3"/>
  <c r="S60" i="4" s="1"/>
  <c r="O48" i="3"/>
  <c r="S48" i="3"/>
  <c r="N46" i="3"/>
  <c r="I41" i="4" s="1"/>
  <c r="I58" i="4" s="1"/>
  <c r="M46" i="3"/>
  <c r="H41" i="4" s="1"/>
  <c r="Z53" i="3"/>
  <c r="U65" i="4" s="1"/>
  <c r="W53" i="3"/>
  <c r="R65" i="4" s="1"/>
  <c r="AB55" i="3"/>
  <c r="W67" i="4" s="1"/>
  <c r="T55" i="3"/>
  <c r="O67" i="4" s="1"/>
  <c r="K45" i="3"/>
  <c r="Q45" i="3"/>
  <c r="L40" i="4" s="1"/>
  <c r="L50" i="4" s="1"/>
  <c r="Q79" i="3" s="1"/>
  <c r="N48" i="3"/>
  <c r="K48" i="3"/>
  <c r="F43" i="4" s="1"/>
  <c r="U52" i="3"/>
  <c r="P64" i="4" s="1"/>
  <c r="AA52" i="3"/>
  <c r="V64" i="4" s="1"/>
  <c r="V52" i="3"/>
  <c r="Q64" i="4" s="1"/>
  <c r="W52" i="3"/>
  <c r="R64" i="4" s="1"/>
  <c r="R52" i="3"/>
  <c r="M64" i="4" s="1"/>
  <c r="S52" i="3"/>
  <c r="N64" i="4" s="1"/>
  <c r="Z52" i="3"/>
  <c r="U64" i="4" s="1"/>
  <c r="Z13" i="13"/>
  <c r="Z11" i="12"/>
  <c r="Z9" i="12"/>
  <c r="Z21" i="15"/>
  <c r="Z10" i="15" s="1"/>
  <c r="AF34" i="17" s="1"/>
  <c r="Z10" i="13"/>
  <c r="AC16" i="6"/>
  <c r="AC17" i="6" s="1"/>
  <c r="AR46" i="6" s="1"/>
  <c r="AE34" i="3"/>
  <c r="AE35" i="3" s="1"/>
  <c r="AU68" i="3" s="1"/>
  <c r="AA31" i="11"/>
  <c r="Z18" i="13" s="1"/>
  <c r="AK76" i="4"/>
  <c r="AK77" i="4" s="1"/>
  <c r="G47" i="6"/>
  <c r="J18" i="10" s="1"/>
  <c r="J43" i="17" s="1"/>
  <c r="Q47" i="6"/>
  <c r="T18" i="10" s="1"/>
  <c r="T43" i="17" s="1"/>
  <c r="L51" i="6"/>
  <c r="L52" i="6" s="1"/>
  <c r="O16" i="8" s="1"/>
  <c r="O16" i="17" s="1"/>
  <c r="U21" i="13"/>
  <c r="U60" i="13" s="1"/>
  <c r="U19" i="13"/>
  <c r="V42" i="13" s="1"/>
  <c r="X53" i="3"/>
  <c r="S65" i="4" s="1"/>
  <c r="AA53" i="3"/>
  <c r="V65" i="4" s="1"/>
  <c r="U53" i="3"/>
  <c r="P65" i="4" s="1"/>
  <c r="I44" i="4"/>
  <c r="J39" i="4"/>
  <c r="J49" i="4" s="1"/>
  <c r="O78" i="3" s="1"/>
  <c r="F24" i="4"/>
  <c r="AN24" i="4" s="1"/>
  <c r="R60" i="4"/>
  <c r="P45" i="3"/>
  <c r="U45" i="3"/>
  <c r="P25" i="4" s="1"/>
  <c r="P26" i="4" s="1"/>
  <c r="T45" i="3"/>
  <c r="O25" i="4" s="1"/>
  <c r="O26" i="4" s="1"/>
  <c r="R54" i="3"/>
  <c r="M66" i="4" s="1"/>
  <c r="Y54" i="3"/>
  <c r="T66" i="4" s="1"/>
  <c r="AD54" i="3"/>
  <c r="Y66" i="4" s="1"/>
  <c r="X54" i="3"/>
  <c r="S66" i="4" s="1"/>
  <c r="AC54" i="3"/>
  <c r="T54" i="3"/>
  <c r="O66" i="4" s="1"/>
  <c r="J46" i="3"/>
  <c r="E41" i="4" s="1"/>
  <c r="T46" i="3"/>
  <c r="O41" i="4" s="1"/>
  <c r="O58" i="4" s="1"/>
  <c r="K46" i="3"/>
  <c r="F41" i="4" s="1"/>
  <c r="R46" i="3"/>
  <c r="M41" i="4" s="1"/>
  <c r="M58" i="4" s="1"/>
  <c r="I46" i="3"/>
  <c r="D41" i="4" s="1"/>
  <c r="AE37" i="3"/>
  <c r="AE91" i="3" s="1"/>
  <c r="V53" i="3"/>
  <c r="Q65" i="4" s="1"/>
  <c r="Y53" i="3"/>
  <c r="T65" i="4" s="1"/>
  <c r="AV44" i="3"/>
  <c r="AW44" i="3" s="1"/>
  <c r="O45" i="3"/>
  <c r="J25" i="4" s="1"/>
  <c r="H45" i="3"/>
  <c r="AA54" i="3"/>
  <c r="V66" i="4" s="1"/>
  <c r="U54" i="3"/>
  <c r="P66" i="4" s="1"/>
  <c r="F100" i="3"/>
  <c r="F35" i="3"/>
  <c r="F37" i="3"/>
  <c r="F91" i="3" s="1"/>
  <c r="AL44" i="6"/>
  <c r="F42" i="3"/>
  <c r="J42" i="3"/>
  <c r="N42" i="3"/>
  <c r="R42" i="3"/>
  <c r="K42" i="3"/>
  <c r="O42" i="3"/>
  <c r="H42" i="3"/>
  <c r="L42" i="3"/>
  <c r="P42" i="3"/>
  <c r="E42" i="3"/>
  <c r="I42" i="3"/>
  <c r="M42" i="3"/>
  <c r="Q42" i="3"/>
  <c r="G42" i="3"/>
  <c r="Y57" i="3"/>
  <c r="T69" i="4" s="1"/>
  <c r="AB57" i="3"/>
  <c r="W69" i="4" s="1"/>
  <c r="C36" i="17"/>
  <c r="C45" i="17" s="1"/>
  <c r="C49" i="17" s="1"/>
  <c r="C51" i="17" s="1"/>
  <c r="C19" i="10"/>
  <c r="C21" i="10" s="1"/>
  <c r="Y51" i="3"/>
  <c r="T63" i="4" s="1"/>
  <c r="Q51" i="3"/>
  <c r="L63" i="4" s="1"/>
  <c r="X51" i="3"/>
  <c r="S63" i="4" s="1"/>
  <c r="P51" i="3"/>
  <c r="K63" i="4" s="1"/>
  <c r="T61" i="4"/>
  <c r="H61" i="4"/>
  <c r="W57" i="3"/>
  <c r="R69" i="4" s="1"/>
  <c r="AH57" i="3"/>
  <c r="AC69" i="4" s="1"/>
  <c r="Z57" i="3"/>
  <c r="U69" i="4" s="1"/>
  <c r="S61" i="4"/>
  <c r="AV49" i="3"/>
  <c r="AW49" i="3" s="1"/>
  <c r="C24" i="4"/>
  <c r="O43" i="4"/>
  <c r="G41" i="3"/>
  <c r="D41" i="3"/>
  <c r="P41" i="3"/>
  <c r="M41" i="3"/>
  <c r="Q41" i="3"/>
  <c r="I41" i="3"/>
  <c r="F41" i="3"/>
  <c r="K41" i="3"/>
  <c r="J41" i="3"/>
  <c r="O41" i="3"/>
  <c r="L41" i="3"/>
  <c r="H41" i="3"/>
  <c r="E41" i="3"/>
  <c r="E69" i="3" s="1"/>
  <c r="E85" i="3" s="1"/>
  <c r="E87" i="3" s="1"/>
  <c r="N41" i="3"/>
  <c r="T56" i="3"/>
  <c r="AB56" i="3"/>
  <c r="W68" i="4" s="1"/>
  <c r="W56" i="3"/>
  <c r="R68" i="4" s="1"/>
  <c r="AE56" i="3"/>
  <c r="Z68" i="4" s="1"/>
  <c r="V56" i="3"/>
  <c r="Q68" i="4" s="1"/>
  <c r="AD56" i="3"/>
  <c r="Y68" i="4" s="1"/>
  <c r="AG56" i="3"/>
  <c r="AB68" i="4" s="1"/>
  <c r="X56" i="3"/>
  <c r="S68" i="4" s="1"/>
  <c r="AF56" i="3"/>
  <c r="AA68" i="4" s="1"/>
  <c r="AA56" i="3"/>
  <c r="V68" i="4" s="1"/>
  <c r="Z56" i="3"/>
  <c r="U68" i="4" s="1"/>
  <c r="U56" i="3"/>
  <c r="P68" i="4" s="1"/>
  <c r="AC56" i="3"/>
  <c r="X68" i="4" s="1"/>
  <c r="Y56" i="3"/>
  <c r="T68" i="4" s="1"/>
  <c r="AM41" i="13"/>
  <c r="AN41" i="13" s="1"/>
  <c r="C17" i="9"/>
  <c r="C20" i="9" s="1"/>
  <c r="C8" i="9"/>
  <c r="C11" i="9" s="1"/>
  <c r="AA57" i="3"/>
  <c r="V69" i="4" s="1"/>
  <c r="W51" i="3"/>
  <c r="R63" i="4" s="1"/>
  <c r="O51" i="3"/>
  <c r="J63" i="4" s="1"/>
  <c r="V57" i="3"/>
  <c r="Q69" i="4" s="1"/>
  <c r="AG57" i="3"/>
  <c r="AB69" i="4" s="1"/>
  <c r="AF57" i="3"/>
  <c r="AA69" i="4" s="1"/>
  <c r="Y41" i="8"/>
  <c r="Y13" i="8" s="1"/>
  <c r="H13" i="19"/>
  <c r="AC64" i="3"/>
  <c r="X76" i="4" s="1"/>
  <c r="Y75" i="4"/>
  <c r="AN75" i="4" s="1"/>
  <c r="N51" i="6"/>
  <c r="N52" i="6" s="1"/>
  <c r="Q16" i="8" s="1"/>
  <c r="Q16" i="17" s="1"/>
  <c r="AE44" i="6"/>
  <c r="Y47" i="6"/>
  <c r="AB18" i="10" s="1"/>
  <c r="AB43" i="17" s="1"/>
  <c r="D16" i="18" s="1"/>
  <c r="T47" i="6"/>
  <c r="W18" i="10" s="1"/>
  <c r="W43" i="17" s="1"/>
  <c r="AF44" i="6"/>
  <c r="Z47" i="6"/>
  <c r="AC18" i="10" s="1"/>
  <c r="AC43" i="17" s="1"/>
  <c r="U47" i="6"/>
  <c r="X18" i="10" s="1"/>
  <c r="X43" i="17" s="1"/>
  <c r="V47" i="6"/>
  <c r="Y18" i="10" s="1"/>
  <c r="Y43" i="17" s="1"/>
  <c r="AT35" i="6"/>
  <c r="AU35" i="6" s="1"/>
  <c r="M51" i="6"/>
  <c r="M52" i="6" s="1"/>
  <c r="P16" i="8" s="1"/>
  <c r="P16" i="17" s="1"/>
  <c r="AU43" i="6"/>
  <c r="AU42" i="6"/>
  <c r="S47" i="6"/>
  <c r="V18" i="10" s="1"/>
  <c r="V43" i="17" s="1"/>
  <c r="AT31" i="6"/>
  <c r="AU31" i="6" s="1"/>
  <c r="D51" i="6"/>
  <c r="D52" i="6" s="1"/>
  <c r="G16" i="8" s="1"/>
  <c r="G16" i="17" s="1"/>
  <c r="H51" i="6"/>
  <c r="H52" i="6" s="1"/>
  <c r="K16" i="8" s="1"/>
  <c r="K16" i="17" s="1"/>
  <c r="C51" i="6"/>
  <c r="C52" i="6" s="1"/>
  <c r="F16" i="8" s="1"/>
  <c r="F16" i="17" s="1"/>
  <c r="G51" i="6"/>
  <c r="G52" i="6" s="1"/>
  <c r="J16" i="8" s="1"/>
  <c r="J16" i="17" s="1"/>
  <c r="F51" i="6"/>
  <c r="F52" i="6" s="1"/>
  <c r="I16" i="8" s="1"/>
  <c r="I16" i="17" s="1"/>
  <c r="F18" i="10"/>
  <c r="F43" i="17" s="1"/>
  <c r="E51" i="6"/>
  <c r="E52" i="6" s="1"/>
  <c r="H16" i="8" s="1"/>
  <c r="H16" i="17" s="1"/>
  <c r="K51" i="6"/>
  <c r="K52" i="6" s="1"/>
  <c r="N16" i="8" s="1"/>
  <c r="N16" i="17" s="1"/>
  <c r="J51" i="6"/>
  <c r="J52" i="6" s="1"/>
  <c r="M16" i="8" s="1"/>
  <c r="M16" i="17" s="1"/>
  <c r="I51" i="6"/>
  <c r="I52" i="6" s="1"/>
  <c r="L16" i="8" s="1"/>
  <c r="L16" i="17" s="1"/>
  <c r="X33" i="14"/>
  <c r="AG33" i="14" s="1"/>
  <c r="U44" i="13"/>
  <c r="U54" i="13" s="1"/>
  <c r="U56" i="13" s="1"/>
  <c r="Y33" i="14"/>
  <c r="M44" i="13"/>
  <c r="M54" i="13" s="1"/>
  <c r="M56" i="13" s="1"/>
  <c r="H8" i="14"/>
  <c r="H20" i="14" s="1"/>
  <c r="I44" i="13"/>
  <c r="I54" i="13" s="1"/>
  <c r="I56" i="13" s="1"/>
  <c r="D8" i="14"/>
  <c r="D20" i="14" s="1"/>
  <c r="R44" i="13"/>
  <c r="R54" i="13" s="1"/>
  <c r="R56" i="13" s="1"/>
  <c r="M11" i="14"/>
  <c r="M23" i="14"/>
  <c r="L11" i="14"/>
  <c r="L23" i="14"/>
  <c r="L44" i="13"/>
  <c r="L54" i="13" s="1"/>
  <c r="L56" i="13" s="1"/>
  <c r="G8" i="14"/>
  <c r="G20" i="14" s="1"/>
  <c r="E44" i="13"/>
  <c r="E54" i="13" s="1"/>
  <c r="E56" i="13" s="1"/>
  <c r="E23" i="15" s="1"/>
  <c r="T44" i="13"/>
  <c r="T54" i="13" s="1"/>
  <c r="T56" i="13" s="1"/>
  <c r="H23" i="14"/>
  <c r="H11" i="14"/>
  <c r="K11" i="14"/>
  <c r="K23" i="14"/>
  <c r="C11" i="14"/>
  <c r="C23" i="14"/>
  <c r="L33" i="14"/>
  <c r="AM37" i="13"/>
  <c r="AN37" i="13" s="1"/>
  <c r="N44" i="13"/>
  <c r="N54" i="13" s="1"/>
  <c r="N56" i="13" s="1"/>
  <c r="I8" i="14"/>
  <c r="I20" i="14" s="1"/>
  <c r="P44" i="13"/>
  <c r="P54" i="13" s="1"/>
  <c r="P56" i="13" s="1"/>
  <c r="K8" i="14"/>
  <c r="K20" i="14" s="1"/>
  <c r="H44" i="13"/>
  <c r="H54" i="13" s="1"/>
  <c r="H56" i="13" s="1"/>
  <c r="C8" i="14"/>
  <c r="I11" i="14"/>
  <c r="I23" i="14"/>
  <c r="AM27" i="13"/>
  <c r="AN27" i="13" s="1"/>
  <c r="J44" i="13"/>
  <c r="J54" i="13" s="1"/>
  <c r="J56" i="13" s="1"/>
  <c r="E8" i="14"/>
  <c r="E20" i="14" s="1"/>
  <c r="O44" i="13"/>
  <c r="O54" i="13" s="1"/>
  <c r="O56" i="13" s="1"/>
  <c r="J8" i="14"/>
  <c r="J20" i="14" s="1"/>
  <c r="E23" i="14"/>
  <c r="E11" i="14"/>
  <c r="D23" i="14"/>
  <c r="D11" i="14"/>
  <c r="Q44" i="13"/>
  <c r="Q54" i="13" s="1"/>
  <c r="Q56" i="13" s="1"/>
  <c r="K44" i="13"/>
  <c r="K54" i="13" s="1"/>
  <c r="K56" i="13" s="1"/>
  <c r="F8" i="14"/>
  <c r="F20" i="14" s="1"/>
  <c r="D44" i="13"/>
  <c r="G44" i="13"/>
  <c r="G54" i="13" s="1"/>
  <c r="G56" i="13" s="1"/>
  <c r="C44" i="13"/>
  <c r="AM24" i="13"/>
  <c r="AN24" i="13" s="1"/>
  <c r="F44" i="13"/>
  <c r="F54" i="13" s="1"/>
  <c r="F56" i="13" s="1"/>
  <c r="J11" i="14"/>
  <c r="J23" i="14"/>
  <c r="G11" i="14"/>
  <c r="G23" i="14"/>
  <c r="S44" i="13"/>
  <c r="S54" i="13" s="1"/>
  <c r="S56" i="13" s="1"/>
  <c r="N23" i="14"/>
  <c r="N11" i="14"/>
  <c r="F11" i="14"/>
  <c r="F23" i="14"/>
  <c r="U69" i="13"/>
  <c r="AB44" i="6"/>
  <c r="AN44" i="6"/>
  <c r="AM44" i="6"/>
  <c r="AI44" i="6"/>
  <c r="AH44" i="6"/>
  <c r="AD44" i="6"/>
  <c r="AK44" i="6"/>
  <c r="AB16" i="6"/>
  <c r="AB17" i="6" s="1"/>
  <c r="AD34" i="3"/>
  <c r="AD35" i="3" s="1"/>
  <c r="AT67" i="3" s="1"/>
  <c r="Z31" i="11"/>
  <c r="Y18" i="13" s="1"/>
  <c r="AJ44" i="6"/>
  <c r="AC44" i="6"/>
  <c r="AG44" i="6"/>
  <c r="AB37" i="3"/>
  <c r="AB91" i="3" s="1"/>
  <c r="AC37" i="3"/>
  <c r="AC91" i="3" s="1"/>
  <c r="AG65" i="3"/>
  <c r="AK65" i="3"/>
  <c r="AD65" i="3"/>
  <c r="G9" i="18"/>
  <c r="H9" i="18" s="1"/>
  <c r="J9" i="18"/>
  <c r="K9" i="18" s="1"/>
  <c r="AE65" i="3"/>
  <c r="AM65" i="3"/>
  <c r="AC65" i="3"/>
  <c r="AH65" i="3"/>
  <c r="AN65" i="3"/>
  <c r="AP65" i="3"/>
  <c r="AO65" i="3"/>
  <c r="AF65" i="3"/>
  <c r="AI65" i="3"/>
  <c r="AJ65" i="3"/>
  <c r="AL65" i="3"/>
  <c r="AB100" i="3"/>
  <c r="AO64" i="3"/>
  <c r="AL64" i="3"/>
  <c r="AN64" i="3"/>
  <c r="AM64" i="3"/>
  <c r="Z74" i="4"/>
  <c r="AA74" i="4"/>
  <c r="W8" i="12"/>
  <c r="W12" i="12" s="1"/>
  <c r="W14" i="12" s="1"/>
  <c r="V15" i="13"/>
  <c r="V16" i="13" s="1"/>
  <c r="W24" i="16"/>
  <c r="W8" i="16" s="1"/>
  <c r="AB8" i="17" s="1"/>
  <c r="D24" i="18" s="1"/>
  <c r="X12" i="11"/>
  <c r="W20" i="11"/>
  <c r="W9" i="13"/>
  <c r="AD50" i="17"/>
  <c r="Y16" i="16"/>
  <c r="Z34" i="11"/>
  <c r="AA47" i="6"/>
  <c r="AD18" i="10" s="1"/>
  <c r="AD43" i="17" s="1"/>
  <c r="AT40" i="6"/>
  <c r="AU40" i="6" s="1"/>
  <c r="X47" i="6"/>
  <c r="AT41" i="6"/>
  <c r="AU41" i="6" s="1"/>
  <c r="Y37" i="14"/>
  <c r="X37" i="14"/>
  <c r="AC37" i="14"/>
  <c r="AB37" i="14"/>
  <c r="S37" i="14"/>
  <c r="AG64" i="3"/>
  <c r="Q37" i="14"/>
  <c r="P37" i="14"/>
  <c r="R37" i="14"/>
  <c r="W37" i="14"/>
  <c r="Z37" i="14"/>
  <c r="AI64" i="3"/>
  <c r="U37" i="14"/>
  <c r="T37" i="14"/>
  <c r="V37" i="14"/>
  <c r="AA37" i="14"/>
  <c r="AH64" i="3"/>
  <c r="AK64" i="3"/>
  <c r="AB64" i="3"/>
  <c r="W76" i="4" s="1"/>
  <c r="AE64" i="3"/>
  <c r="Z76" i="4" s="1"/>
  <c r="AF64" i="3"/>
  <c r="AD64" i="3"/>
  <c r="Y76" i="4" s="1"/>
  <c r="AJ64" i="3"/>
  <c r="AC100" i="3"/>
  <c r="AV62" i="3"/>
  <c r="AW62" i="3" s="1"/>
  <c r="AC35" i="3"/>
  <c r="AS66" i="3" s="1"/>
  <c r="AV63" i="3"/>
  <c r="AW63" i="3" s="1"/>
  <c r="U63" i="4"/>
  <c r="Z67" i="4"/>
  <c r="AF72" i="4"/>
  <c r="AN72" i="4" s="1"/>
  <c r="X66" i="4"/>
  <c r="AN66" i="4" s="1"/>
  <c r="AV61" i="3"/>
  <c r="AW61" i="3" s="1"/>
  <c r="T73" i="4"/>
  <c r="AH73" i="4"/>
  <c r="AE71" i="4"/>
  <c r="W65" i="4"/>
  <c r="AN65" i="4" s="1"/>
  <c r="D69" i="3"/>
  <c r="D85" i="3" s="1"/>
  <c r="D87" i="3" s="1"/>
  <c r="AD70" i="4"/>
  <c r="AN70" i="4" s="1"/>
  <c r="AG73" i="4"/>
  <c r="AN73" i="4" s="1"/>
  <c r="Q70" i="4"/>
  <c r="AV58" i="3"/>
  <c r="AW58" i="3" s="1"/>
  <c r="J40" i="4"/>
  <c r="J50" i="4" s="1"/>
  <c r="O79" i="3" s="1"/>
  <c r="N25" i="4"/>
  <c r="N40" i="4"/>
  <c r="N50" i="4" s="1"/>
  <c r="S79" i="3" s="1"/>
  <c r="H40" i="4"/>
  <c r="E40" i="4"/>
  <c r="K40" i="4"/>
  <c r="K50" i="4" s="1"/>
  <c r="P79" i="3" s="1"/>
  <c r="K25" i="4"/>
  <c r="D40" i="4"/>
  <c r="D25" i="4"/>
  <c r="P40" i="4"/>
  <c r="P50" i="4" s="1"/>
  <c r="O40" i="4"/>
  <c r="O50" i="4" s="1"/>
  <c r="T79" i="3" s="1"/>
  <c r="I40" i="4"/>
  <c r="I50" i="4" s="1"/>
  <c r="N79" i="3" s="1"/>
  <c r="I25" i="4"/>
  <c r="N50" i="3"/>
  <c r="I62" i="4" s="1"/>
  <c r="R50" i="3"/>
  <c r="M62" i="4" s="1"/>
  <c r="V50" i="3"/>
  <c r="Q62" i="4" s="1"/>
  <c r="M50" i="3"/>
  <c r="Q50" i="3"/>
  <c r="L62" i="4" s="1"/>
  <c r="U50" i="3"/>
  <c r="P62" i="4" s="1"/>
  <c r="Y50" i="3"/>
  <c r="P50" i="3"/>
  <c r="K62" i="4" s="1"/>
  <c r="T50" i="3"/>
  <c r="O62" i="4" s="1"/>
  <c r="X50" i="3"/>
  <c r="O50" i="3"/>
  <c r="J62" i="4" s="1"/>
  <c r="S50" i="3"/>
  <c r="N62" i="4" s="1"/>
  <c r="W50" i="3"/>
  <c r="AV60" i="3"/>
  <c r="AW60" i="3" s="1"/>
  <c r="S72" i="4"/>
  <c r="F40" i="4"/>
  <c r="F25" i="4"/>
  <c r="G25" i="4"/>
  <c r="G40" i="4"/>
  <c r="L25" i="4"/>
  <c r="W25" i="16"/>
  <c r="AD100" i="3"/>
  <c r="T29" i="14"/>
  <c r="S29" i="14"/>
  <c r="AM33" i="13"/>
  <c r="AN33" i="13" s="1"/>
  <c r="H29" i="14"/>
  <c r="M25" i="14"/>
  <c r="N25" i="14"/>
  <c r="W22" i="15"/>
  <c r="X29" i="11"/>
  <c r="X23" i="11" s="1"/>
  <c r="Y26" i="11"/>
  <c r="I21" i="14"/>
  <c r="I9" i="14"/>
  <c r="E21" i="14"/>
  <c r="E9" i="14"/>
  <c r="F21" i="14"/>
  <c r="F9" i="14"/>
  <c r="J21" i="14"/>
  <c r="J9" i="14"/>
  <c r="D21" i="14"/>
  <c r="D9" i="14"/>
  <c r="K21" i="14"/>
  <c r="K9" i="14"/>
  <c r="P69" i="4"/>
  <c r="E8" i="4"/>
  <c r="E20" i="4" s="1"/>
  <c r="I8" i="4"/>
  <c r="I20" i="4" s="1"/>
  <c r="J8" i="4"/>
  <c r="J20" i="4" s="1"/>
  <c r="F8" i="4"/>
  <c r="F20" i="4" s="1"/>
  <c r="AV40" i="3"/>
  <c r="AW40" i="3" s="1"/>
  <c r="AM35" i="13"/>
  <c r="AN35" i="13" s="1"/>
  <c r="J31" i="14"/>
  <c r="L42" i="4"/>
  <c r="L59" i="4"/>
  <c r="M59" i="4"/>
  <c r="M42" i="4"/>
  <c r="I42" i="4"/>
  <c r="I59" i="4"/>
  <c r="O59" i="4"/>
  <c r="O42" i="4"/>
  <c r="P59" i="4"/>
  <c r="P42" i="4"/>
  <c r="Q59" i="4"/>
  <c r="Q42" i="4"/>
  <c r="Q45" i="4" s="1"/>
  <c r="O49" i="4"/>
  <c r="H49" i="4"/>
  <c r="R45" i="4"/>
  <c r="AD37" i="3"/>
  <c r="AD91" i="3" s="1"/>
  <c r="H58" i="4"/>
  <c r="P41" i="4"/>
  <c r="AV59" i="3"/>
  <c r="AW59" i="3" s="1"/>
  <c r="R71" i="4"/>
  <c r="I63" i="4"/>
  <c r="V9" i="16"/>
  <c r="V26" i="16"/>
  <c r="K65" i="4"/>
  <c r="R29" i="14"/>
  <c r="AG29" i="14" s="1"/>
  <c r="Q29" i="14"/>
  <c r="P29" i="14"/>
  <c r="S78" i="3"/>
  <c r="O25" i="14"/>
  <c r="O40" i="14" s="1"/>
  <c r="AM29" i="13"/>
  <c r="AN29" i="13" s="1"/>
  <c r="C25" i="14"/>
  <c r="C21" i="14"/>
  <c r="C9" i="14"/>
  <c r="AM25" i="13"/>
  <c r="AN25" i="13" s="1"/>
  <c r="G21" i="14"/>
  <c r="G9" i="14"/>
  <c r="H21" i="14"/>
  <c r="H9" i="14"/>
  <c r="N67" i="4"/>
  <c r="K8" i="4"/>
  <c r="K20" i="4" s="1"/>
  <c r="G8" i="4"/>
  <c r="G20" i="4" s="1"/>
  <c r="H8" i="4"/>
  <c r="H20" i="4" s="1"/>
  <c r="C8" i="4"/>
  <c r="D8" i="4"/>
  <c r="D20" i="4" s="1"/>
  <c r="W31" i="14"/>
  <c r="AG31" i="14" s="1"/>
  <c r="AV47" i="3"/>
  <c r="AW47" i="3" s="1"/>
  <c r="E42" i="4"/>
  <c r="H59" i="4"/>
  <c r="H42" i="4"/>
  <c r="N59" i="4"/>
  <c r="N42" i="4"/>
  <c r="J59" i="4"/>
  <c r="J42" i="4"/>
  <c r="K59" i="4"/>
  <c r="K42" i="4"/>
  <c r="AN12" i="4"/>
  <c r="O51" i="6" l="1"/>
  <c r="O52" i="6" s="1"/>
  <c r="R16" i="8" s="1"/>
  <c r="R16" i="17" s="1"/>
  <c r="AN68" i="4"/>
  <c r="AN69" i="4"/>
  <c r="AN67" i="4"/>
  <c r="AA34" i="11"/>
  <c r="AF27" i="17" s="1"/>
  <c r="AE27" i="17"/>
  <c r="AT44" i="6"/>
  <c r="AV53" i="3"/>
  <c r="AW53" i="3" s="1"/>
  <c r="AV55" i="3"/>
  <c r="AW55" i="3" s="1"/>
  <c r="G24" i="18"/>
  <c r="H24" i="18" s="1"/>
  <c r="AG37" i="14"/>
  <c r="AV45" i="3"/>
  <c r="AW45" i="3" s="1"/>
  <c r="S43" i="4"/>
  <c r="AN44" i="4"/>
  <c r="AR47" i="6"/>
  <c r="AR66" i="3"/>
  <c r="AS67" i="3"/>
  <c r="X77" i="4"/>
  <c r="AU69" i="3"/>
  <c r="AT68" i="3"/>
  <c r="P51" i="6"/>
  <c r="P52" i="6" s="1"/>
  <c r="S16" i="8" s="1"/>
  <c r="S16" i="17" s="1"/>
  <c r="AQ45" i="6"/>
  <c r="AP45" i="6"/>
  <c r="K60" i="4"/>
  <c r="K43" i="4"/>
  <c r="AV48" i="3"/>
  <c r="AW48" i="3" s="1"/>
  <c r="J60" i="4"/>
  <c r="J43" i="4"/>
  <c r="M40" i="4"/>
  <c r="M50" i="4" s="1"/>
  <c r="R79" i="3" s="1"/>
  <c r="H43" i="4"/>
  <c r="H60" i="4"/>
  <c r="AV54" i="3"/>
  <c r="AW54" i="3" s="1"/>
  <c r="N60" i="4"/>
  <c r="N43" i="4"/>
  <c r="M43" i="4"/>
  <c r="M60" i="4"/>
  <c r="P60" i="4"/>
  <c r="P43" i="4"/>
  <c r="AV46" i="3"/>
  <c r="AW46" i="3" s="1"/>
  <c r="C25" i="4"/>
  <c r="I43" i="4"/>
  <c r="I60" i="4"/>
  <c r="AV52" i="3"/>
  <c r="AW52" i="3" s="1"/>
  <c r="L43" i="4"/>
  <c r="L60" i="4"/>
  <c r="AA16" i="16"/>
  <c r="AS68" i="3"/>
  <c r="AP68" i="3"/>
  <c r="AK68" i="3"/>
  <c r="AH68" i="3"/>
  <c r="AO68" i="3"/>
  <c r="AF68" i="3"/>
  <c r="AM68" i="3"/>
  <c r="AT69" i="3"/>
  <c r="AJ68" i="3"/>
  <c r="AR68" i="3"/>
  <c r="AI68" i="3"/>
  <c r="AQ68" i="3"/>
  <c r="AG68" i="3"/>
  <c r="AL68" i="3"/>
  <c r="AN68" i="3"/>
  <c r="AQ46" i="6"/>
  <c r="AQ47" i="6" s="1"/>
  <c r="AM46" i="6"/>
  <c r="AP46" i="6"/>
  <c r="AO46" i="6"/>
  <c r="AN46" i="6"/>
  <c r="AH46" i="6"/>
  <c r="AJ46" i="6"/>
  <c r="AD46" i="6"/>
  <c r="AT46" i="6" s="1"/>
  <c r="AU46" i="6" s="1"/>
  <c r="AI46" i="6"/>
  <c r="AL46" i="6"/>
  <c r="AK46" i="6"/>
  <c r="AE46" i="6"/>
  <c r="AG46" i="6"/>
  <c r="AF46" i="6"/>
  <c r="AB76" i="4"/>
  <c r="AB77" i="4" s="1"/>
  <c r="AE67" i="3"/>
  <c r="AA76" i="4"/>
  <c r="AA77" i="4" s="1"/>
  <c r="AC76" i="4"/>
  <c r="AC77" i="4" s="1"/>
  <c r="AJ76" i="4"/>
  <c r="AJ77" i="4" s="1"/>
  <c r="AG76" i="4"/>
  <c r="AG77" i="4" s="1"/>
  <c r="AD76" i="4"/>
  <c r="AD77" i="4" s="1"/>
  <c r="AH76" i="4"/>
  <c r="AH77" i="4" s="1"/>
  <c r="AF76" i="4"/>
  <c r="AF77" i="4" s="1"/>
  <c r="AE76" i="4"/>
  <c r="AE77" i="4" s="1"/>
  <c r="AI76" i="4"/>
  <c r="AI77" i="4" s="1"/>
  <c r="Q51" i="6"/>
  <c r="Q52" i="6" s="1"/>
  <c r="T16" i="8" s="1"/>
  <c r="T16" i="17" s="1"/>
  <c r="R51" i="6"/>
  <c r="R52" i="6" s="1"/>
  <c r="U16" i="8" s="1"/>
  <c r="U16" i="17" s="1"/>
  <c r="K40" i="14"/>
  <c r="W77" i="4"/>
  <c r="AN39" i="4"/>
  <c r="Z77" i="4"/>
  <c r="Y77" i="4"/>
  <c r="U77" i="4"/>
  <c r="Y42" i="13"/>
  <c r="AA42" i="13"/>
  <c r="Z42" i="13"/>
  <c r="AI42" i="13"/>
  <c r="W42" i="13"/>
  <c r="X42" i="13"/>
  <c r="AH42" i="13"/>
  <c r="N40" i="14"/>
  <c r="S45" i="4"/>
  <c r="Z69" i="3"/>
  <c r="Z85" i="3" s="1"/>
  <c r="Z87" i="3" s="1"/>
  <c r="AA28" i="10" s="1"/>
  <c r="O45" i="4"/>
  <c r="H43" i="3"/>
  <c r="I43" i="3"/>
  <c r="Q43" i="3"/>
  <c r="R43" i="3"/>
  <c r="M43" i="3"/>
  <c r="J43" i="3"/>
  <c r="O43" i="3"/>
  <c r="N43" i="3"/>
  <c r="P43" i="3"/>
  <c r="F43" i="3"/>
  <c r="F69" i="3" s="1"/>
  <c r="G43" i="3"/>
  <c r="G69" i="3" s="1"/>
  <c r="G85" i="3" s="1"/>
  <c r="G87" i="3" s="1"/>
  <c r="K43" i="3"/>
  <c r="L43" i="3"/>
  <c r="S43" i="3"/>
  <c r="S69" i="3" s="1"/>
  <c r="S85" i="3" s="1"/>
  <c r="F21" i="4"/>
  <c r="F36" i="4"/>
  <c r="F9" i="4"/>
  <c r="L10" i="4"/>
  <c r="L22" i="4"/>
  <c r="L37" i="4" s="1"/>
  <c r="L48" i="4" s="1"/>
  <c r="AV51" i="3"/>
  <c r="AW51" i="3" s="1"/>
  <c r="G9" i="4"/>
  <c r="G21" i="4"/>
  <c r="G36" i="4"/>
  <c r="M10" i="4"/>
  <c r="M22" i="4"/>
  <c r="M37" i="4" s="1"/>
  <c r="M48" i="4" s="1"/>
  <c r="N52" i="4"/>
  <c r="L69" i="3"/>
  <c r="L85" i="3" s="1"/>
  <c r="AB69" i="3"/>
  <c r="AB85" i="3" s="1"/>
  <c r="AB87" i="3" s="1"/>
  <c r="AB99" i="3" s="1"/>
  <c r="P40" i="14"/>
  <c r="L40" i="14"/>
  <c r="C22" i="9"/>
  <c r="D16" i="9"/>
  <c r="I21" i="4"/>
  <c r="I9" i="4"/>
  <c r="I36" i="4"/>
  <c r="I56" i="4"/>
  <c r="J56" i="4"/>
  <c r="J21" i="4"/>
  <c r="J9" i="4"/>
  <c r="J36" i="4"/>
  <c r="D9" i="4"/>
  <c r="D21" i="4"/>
  <c r="D36" i="4"/>
  <c r="AV41" i="3"/>
  <c r="AW41" i="3" s="1"/>
  <c r="D22" i="4"/>
  <c r="D10" i="4"/>
  <c r="C10" i="4"/>
  <c r="C22" i="4"/>
  <c r="I10" i="4"/>
  <c r="I22" i="4"/>
  <c r="I37" i="4" s="1"/>
  <c r="I48" i="4" s="1"/>
  <c r="N77" i="3" s="1"/>
  <c r="Z41" i="8"/>
  <c r="Z13" i="8" s="1"/>
  <c r="I13" i="19"/>
  <c r="C21" i="4"/>
  <c r="C9" i="4"/>
  <c r="H56" i="4"/>
  <c r="H21" i="4"/>
  <c r="H9" i="4"/>
  <c r="H36" i="4"/>
  <c r="K22" i="4"/>
  <c r="K37" i="4" s="1"/>
  <c r="K48" i="4" s="1"/>
  <c r="P77" i="3" s="1"/>
  <c r="K10" i="4"/>
  <c r="F22" i="4"/>
  <c r="F37" i="4" s="1"/>
  <c r="F10" i="4"/>
  <c r="AV57" i="3"/>
  <c r="AW57" i="3" s="1"/>
  <c r="M69" i="3"/>
  <c r="M85" i="3" s="1"/>
  <c r="AV56" i="3"/>
  <c r="AW56" i="3" s="1"/>
  <c r="O68" i="4"/>
  <c r="O77" i="4" s="1"/>
  <c r="K36" i="4"/>
  <c r="K21" i="4"/>
  <c r="K9" i="4"/>
  <c r="K56" i="4"/>
  <c r="H22" i="4"/>
  <c r="H37" i="4" s="1"/>
  <c r="H48" i="4" s="1"/>
  <c r="M77" i="3" s="1"/>
  <c r="H10" i="4"/>
  <c r="G22" i="4"/>
  <c r="G37" i="4" s="1"/>
  <c r="G10" i="4"/>
  <c r="AA69" i="3"/>
  <c r="AA85" i="3" s="1"/>
  <c r="AA87" i="3" s="1"/>
  <c r="AB28" i="10" s="1"/>
  <c r="K69" i="3"/>
  <c r="K85" i="3" s="1"/>
  <c r="V77" i="4"/>
  <c r="E9" i="4"/>
  <c r="E36" i="4"/>
  <c r="E21" i="4"/>
  <c r="L36" i="4"/>
  <c r="L21" i="4"/>
  <c r="L9" i="4"/>
  <c r="L56" i="4"/>
  <c r="AV42" i="3"/>
  <c r="AW42" i="3" s="1"/>
  <c r="J22" i="4"/>
  <c r="J37" i="4" s="1"/>
  <c r="J48" i="4" s="1"/>
  <c r="J10" i="4"/>
  <c r="E22" i="4"/>
  <c r="E37" i="4" s="1"/>
  <c r="E10" i="4"/>
  <c r="AD42" i="13"/>
  <c r="AF42" i="13"/>
  <c r="AB42" i="13"/>
  <c r="AE42" i="13"/>
  <c r="AG42" i="13"/>
  <c r="AC42" i="13"/>
  <c r="AC69" i="3"/>
  <c r="AC85" i="3" s="1"/>
  <c r="AC87" i="3" s="1"/>
  <c r="AC99" i="3" s="1"/>
  <c r="AC45" i="6"/>
  <c r="AE45" i="6"/>
  <c r="AI45" i="6"/>
  <c r="AM45" i="6"/>
  <c r="AG45" i="6"/>
  <c r="AG47" i="6" s="1"/>
  <c r="AF45" i="6"/>
  <c r="AF47" i="6" s="1"/>
  <c r="AJ45" i="6"/>
  <c r="AJ47" i="6" s="1"/>
  <c r="AN45" i="6"/>
  <c r="AO45" i="6"/>
  <c r="AD45" i="6"/>
  <c r="AH45" i="6"/>
  <c r="AL45" i="6"/>
  <c r="AK45" i="6"/>
  <c r="AK47" i="6" s="1"/>
  <c r="AU44" i="6"/>
  <c r="AB47" i="6"/>
  <c r="AE18" i="10" s="1"/>
  <c r="AE43" i="17" s="1"/>
  <c r="V51" i="6"/>
  <c r="V52" i="6" s="1"/>
  <c r="Y16" i="8" s="1"/>
  <c r="Y16" i="17" s="1"/>
  <c r="U51" i="6"/>
  <c r="U52" i="6" s="1"/>
  <c r="X16" i="8" s="1"/>
  <c r="X16" i="17" s="1"/>
  <c r="T51" i="6"/>
  <c r="T52" i="6" s="1"/>
  <c r="W16" i="8" s="1"/>
  <c r="W16" i="17" s="1"/>
  <c r="S51" i="6"/>
  <c r="S52" i="6" s="1"/>
  <c r="V16" i="8" s="1"/>
  <c r="V16" i="17" s="1"/>
  <c r="W51" i="6"/>
  <c r="W52" i="6" s="1"/>
  <c r="Z16" i="8" s="1"/>
  <c r="Z16" i="17" s="1"/>
  <c r="I40" i="14"/>
  <c r="S82" i="3"/>
  <c r="S86" i="3" s="1"/>
  <c r="Q77" i="4"/>
  <c r="I52" i="4"/>
  <c r="G68" i="13"/>
  <c r="G23" i="15"/>
  <c r="G11" i="15" s="1"/>
  <c r="G15" i="15" s="1"/>
  <c r="H17" i="16" s="1"/>
  <c r="D40" i="14"/>
  <c r="F23" i="15"/>
  <c r="F27" i="15" s="1"/>
  <c r="F68" i="13"/>
  <c r="C61" i="13"/>
  <c r="C64" i="13" s="1"/>
  <c r="C54" i="13"/>
  <c r="C56" i="13" s="1"/>
  <c r="AG8" i="14"/>
  <c r="C20" i="14"/>
  <c r="C40" i="14" s="1"/>
  <c r="AG11" i="14"/>
  <c r="E68" i="13"/>
  <c r="F40" i="14"/>
  <c r="G40" i="14"/>
  <c r="E40" i="14"/>
  <c r="M40" i="14"/>
  <c r="AA51" i="6"/>
  <c r="AA52" i="6" s="1"/>
  <c r="AD16" i="8" s="1"/>
  <c r="AD16" i="17" s="1"/>
  <c r="AV65" i="3"/>
  <c r="AW65" i="3" s="1"/>
  <c r="AV64" i="3"/>
  <c r="AW64" i="3" s="1"/>
  <c r="W24" i="15"/>
  <c r="W12" i="15" s="1"/>
  <c r="AC36" i="17" s="1"/>
  <c r="W12" i="13"/>
  <c r="W14" i="13" s="1"/>
  <c r="X19" i="11"/>
  <c r="X11" i="11"/>
  <c r="V19" i="13"/>
  <c r="V21" i="13"/>
  <c r="V60" i="13" s="1"/>
  <c r="V69" i="13"/>
  <c r="Z16" i="16"/>
  <c r="AE50" i="17"/>
  <c r="AA18" i="10"/>
  <c r="AA43" i="17" s="1"/>
  <c r="E16" i="18" s="1"/>
  <c r="X51" i="6"/>
  <c r="X52" i="6" s="1"/>
  <c r="AA16" i="8" s="1"/>
  <c r="AA16" i="17" s="1"/>
  <c r="E32" i="18" s="1"/>
  <c r="Y51" i="6"/>
  <c r="Y52" i="6" s="1"/>
  <c r="AB16" i="8" s="1"/>
  <c r="AB16" i="17" s="1"/>
  <c r="D32" i="18" s="1"/>
  <c r="Z51" i="6"/>
  <c r="Z52" i="6" s="1"/>
  <c r="AC16" i="8" s="1"/>
  <c r="AC16" i="17" s="1"/>
  <c r="AH66" i="3"/>
  <c r="AG66" i="3"/>
  <c r="AN66" i="3"/>
  <c r="AE66" i="3"/>
  <c r="AJ66" i="3"/>
  <c r="AL66" i="3"/>
  <c r="AI66" i="3"/>
  <c r="AK66" i="3"/>
  <c r="AQ66" i="3"/>
  <c r="AM66" i="3"/>
  <c r="AP66" i="3"/>
  <c r="AF66" i="3"/>
  <c r="AO66" i="3"/>
  <c r="AD66" i="3"/>
  <c r="AD69" i="3" s="1"/>
  <c r="H40" i="14"/>
  <c r="J40" i="14"/>
  <c r="AG67" i="3"/>
  <c r="AI67" i="3"/>
  <c r="AK67" i="3"/>
  <c r="AM67" i="3"/>
  <c r="AO67" i="3"/>
  <c r="AQ67" i="3"/>
  <c r="AF67" i="3"/>
  <c r="AH67" i="3"/>
  <c r="AJ67" i="3"/>
  <c r="AL67" i="3"/>
  <c r="AN67" i="3"/>
  <c r="AR67" i="3"/>
  <c r="AP67" i="3"/>
  <c r="E28" i="10"/>
  <c r="E11" i="10" s="1"/>
  <c r="D99" i="3"/>
  <c r="E99" i="3"/>
  <c r="F28" i="10"/>
  <c r="F33" i="10" s="1"/>
  <c r="S62" i="4"/>
  <c r="S77" i="4" s="1"/>
  <c r="X69" i="3"/>
  <c r="X85" i="3" s="1"/>
  <c r="X87" i="3" s="1"/>
  <c r="Y28" i="10" s="1"/>
  <c r="U69" i="3"/>
  <c r="U85" i="3" s="1"/>
  <c r="O69" i="3"/>
  <c r="O85" i="3" s="1"/>
  <c r="T69" i="3"/>
  <c r="T85" i="3" s="1"/>
  <c r="R69" i="3"/>
  <c r="R85" i="3" s="1"/>
  <c r="R62" i="4"/>
  <c r="R77" i="4" s="1"/>
  <c r="W69" i="3"/>
  <c r="W85" i="3" s="1"/>
  <c r="W87" i="3" s="1"/>
  <c r="X28" i="10" s="1"/>
  <c r="T62" i="4"/>
  <c r="T77" i="4" s="1"/>
  <c r="Y69" i="3"/>
  <c r="V69" i="3"/>
  <c r="V85" i="3" s="1"/>
  <c r="V87" i="3" s="1"/>
  <c r="V99" i="3" s="1"/>
  <c r="N69" i="3"/>
  <c r="N85" i="3" s="1"/>
  <c r="Q69" i="3"/>
  <c r="Y85" i="3"/>
  <c r="Y87" i="3" s="1"/>
  <c r="Y99" i="3" s="1"/>
  <c r="AV50" i="3"/>
  <c r="AW50" i="3" s="1"/>
  <c r="H62" i="4"/>
  <c r="P52" i="4"/>
  <c r="U79" i="3"/>
  <c r="U82" i="3" s="1"/>
  <c r="U86" i="3" s="1"/>
  <c r="AN25" i="4"/>
  <c r="AN40" i="4"/>
  <c r="H50" i="4"/>
  <c r="X25" i="16"/>
  <c r="X9" i="16" s="1"/>
  <c r="AC11" i="17" s="1"/>
  <c r="AN42" i="4"/>
  <c r="K29" i="4"/>
  <c r="L68" i="13"/>
  <c r="L23" i="15"/>
  <c r="D54" i="13"/>
  <c r="D56" i="13" s="1"/>
  <c r="L61" i="13"/>
  <c r="L64" i="13" s="1"/>
  <c r="D61" i="13"/>
  <c r="D64" i="13" s="1"/>
  <c r="F61" i="13"/>
  <c r="F64" i="13" s="1"/>
  <c r="H61" i="13"/>
  <c r="H64" i="13" s="1"/>
  <c r="J61" i="13"/>
  <c r="J64" i="13" s="1"/>
  <c r="E61" i="13"/>
  <c r="E64" i="13" s="1"/>
  <c r="G61" i="13"/>
  <c r="G64" i="13" s="1"/>
  <c r="I61" i="13"/>
  <c r="I64" i="13" s="1"/>
  <c r="M61" i="13"/>
  <c r="M64" i="13" s="1"/>
  <c r="K61" i="13"/>
  <c r="K64" i="13" s="1"/>
  <c r="R61" i="13"/>
  <c r="R64" i="13" s="1"/>
  <c r="Q61" i="13"/>
  <c r="Q64" i="13" s="1"/>
  <c r="O61" i="13"/>
  <c r="O64" i="13" s="1"/>
  <c r="T61" i="13"/>
  <c r="T64" i="13" s="1"/>
  <c r="U61" i="13"/>
  <c r="U64" i="13" s="1"/>
  <c r="S61" i="13"/>
  <c r="S64" i="13" s="1"/>
  <c r="N61" i="13"/>
  <c r="N64" i="13" s="1"/>
  <c r="P61" i="13"/>
  <c r="P64" i="13" s="1"/>
  <c r="AG9" i="14"/>
  <c r="U23" i="15"/>
  <c r="U68" i="13"/>
  <c r="AA11" i="17"/>
  <c r="E27" i="18" s="1"/>
  <c r="P58" i="4"/>
  <c r="P77" i="4" s="1"/>
  <c r="P45" i="4"/>
  <c r="AN41" i="4"/>
  <c r="AN49" i="4"/>
  <c r="M78" i="3"/>
  <c r="O52" i="4"/>
  <c r="T78" i="3"/>
  <c r="T82" i="3" s="1"/>
  <c r="T86" i="3" s="1"/>
  <c r="F29" i="4"/>
  <c r="J29" i="4"/>
  <c r="I29" i="4"/>
  <c r="E29" i="4"/>
  <c r="P23" i="15"/>
  <c r="P68" i="13"/>
  <c r="O23" i="15"/>
  <c r="O68" i="13"/>
  <c r="J23" i="15"/>
  <c r="J68" i="13"/>
  <c r="R23" i="15"/>
  <c r="R68" i="13"/>
  <c r="W9" i="16"/>
  <c r="W26" i="16"/>
  <c r="Q23" i="15"/>
  <c r="Q68" i="13"/>
  <c r="AN20" i="4"/>
  <c r="D29" i="4"/>
  <c r="AN8" i="4"/>
  <c r="C20" i="4"/>
  <c r="H29" i="4"/>
  <c r="H35" i="4" s="1"/>
  <c r="G29" i="4"/>
  <c r="M23" i="15"/>
  <c r="M68" i="13"/>
  <c r="E27" i="15"/>
  <c r="E11" i="15"/>
  <c r="E15" i="15" s="1"/>
  <c r="F17" i="16" s="1"/>
  <c r="H23" i="15"/>
  <c r="H68" i="13"/>
  <c r="G27" i="15"/>
  <c r="T68" i="13"/>
  <c r="T23" i="15"/>
  <c r="C85" i="3"/>
  <c r="C87" i="3" s="1"/>
  <c r="C92" i="3"/>
  <c r="C95" i="3" s="1"/>
  <c r="D38" i="8" s="1"/>
  <c r="D92" i="3"/>
  <c r="D95" i="3" s="1"/>
  <c r="E38" i="8" s="1"/>
  <c r="E92" i="3"/>
  <c r="E95" i="3" s="1"/>
  <c r="F38" i="8" s="1"/>
  <c r="I68" i="13"/>
  <c r="I23" i="15"/>
  <c r="K68" i="13"/>
  <c r="K23" i="15"/>
  <c r="N68" i="13"/>
  <c r="N23" i="15"/>
  <c r="Z26" i="11"/>
  <c r="AA26" i="11" s="1"/>
  <c r="X22" i="15"/>
  <c r="Y29" i="11"/>
  <c r="Y23" i="11" s="1"/>
  <c r="S68" i="13"/>
  <c r="S23" i="15"/>
  <c r="AF50" i="17" l="1"/>
  <c r="AN43" i="4"/>
  <c r="AC43" i="13"/>
  <c r="Y43" i="13"/>
  <c r="AL43" i="13"/>
  <c r="AL44" i="13" s="1"/>
  <c r="AB43" i="13"/>
  <c r="X43" i="13"/>
  <c r="AK43" i="13"/>
  <c r="Z43" i="13"/>
  <c r="AA43" i="13"/>
  <c r="W43" i="13"/>
  <c r="AT45" i="6"/>
  <c r="AR69" i="3"/>
  <c r="AV68" i="3"/>
  <c r="AW68" i="3" s="1"/>
  <c r="AN76" i="4"/>
  <c r="AN77" i="4" s="1"/>
  <c r="AH47" i="6"/>
  <c r="AP47" i="6"/>
  <c r="AL47" i="6"/>
  <c r="AM47" i="6"/>
  <c r="AA99" i="3"/>
  <c r="AL69" i="3"/>
  <c r="X99" i="3"/>
  <c r="W28" i="10"/>
  <c r="W11" i="10" s="1"/>
  <c r="AN47" i="6"/>
  <c r="AI47" i="6"/>
  <c r="AS69" i="3"/>
  <c r="AA29" i="11"/>
  <c r="Z22" i="15"/>
  <c r="AD47" i="6"/>
  <c r="AE47" i="6"/>
  <c r="AO47" i="6"/>
  <c r="AH43" i="13"/>
  <c r="AG43" i="13"/>
  <c r="AJ43" i="13"/>
  <c r="AF43" i="13"/>
  <c r="AI43" i="13"/>
  <c r="AE43" i="13"/>
  <c r="AD43" i="13"/>
  <c r="AF69" i="3"/>
  <c r="AC28" i="10"/>
  <c r="AC11" i="10" s="1"/>
  <c r="AK69" i="3"/>
  <c r="AH69" i="3"/>
  <c r="AQ69" i="3"/>
  <c r="AD28" i="10"/>
  <c r="AD11" i="10" s="1"/>
  <c r="AP69" i="3"/>
  <c r="AI69" i="3"/>
  <c r="AN69" i="3"/>
  <c r="AO69" i="3"/>
  <c r="AJ69" i="3"/>
  <c r="AM69" i="3"/>
  <c r="AG69" i="3"/>
  <c r="AB51" i="6"/>
  <c r="AB52" i="6" s="1"/>
  <c r="AE16" i="8" s="1"/>
  <c r="AE16" i="17" s="1"/>
  <c r="Z99" i="3"/>
  <c r="H28" i="10"/>
  <c r="H11" i="10" s="1"/>
  <c r="G99" i="3"/>
  <c r="F85" i="3"/>
  <c r="F87" i="3" s="1"/>
  <c r="F92" i="3"/>
  <c r="F95" i="3" s="1"/>
  <c r="G38" i="8" s="1"/>
  <c r="G11" i="8" s="1"/>
  <c r="G25" i="36" s="1"/>
  <c r="G27" i="36" s="1"/>
  <c r="G92" i="3"/>
  <c r="G95" i="3" s="1"/>
  <c r="H38" i="8" s="1"/>
  <c r="H40" i="8" s="1"/>
  <c r="G11" i="4"/>
  <c r="G38" i="4"/>
  <c r="G23" i="4"/>
  <c r="G26" i="4" s="1"/>
  <c r="K38" i="4"/>
  <c r="K57" i="4"/>
  <c r="K23" i="4"/>
  <c r="K26" i="4" s="1"/>
  <c r="K11" i="4"/>
  <c r="H57" i="4"/>
  <c r="H77" i="4" s="1"/>
  <c r="H38" i="4"/>
  <c r="H11" i="4"/>
  <c r="H23" i="4"/>
  <c r="H26" i="4" s="1"/>
  <c r="C11" i="4"/>
  <c r="C23" i="4"/>
  <c r="C26" i="4" s="1"/>
  <c r="H69" i="3"/>
  <c r="H85" i="3" s="1"/>
  <c r="H87" i="3" s="1"/>
  <c r="F38" i="4"/>
  <c r="F23" i="4"/>
  <c r="F26" i="4" s="1"/>
  <c r="F11" i="4"/>
  <c r="I23" i="4"/>
  <c r="I26" i="4" s="1"/>
  <c r="I11" i="4"/>
  <c r="I38" i="4"/>
  <c r="I57" i="4"/>
  <c r="I77" i="4" s="1"/>
  <c r="M57" i="4"/>
  <c r="M77" i="4" s="1"/>
  <c r="M11" i="4"/>
  <c r="M23" i="4"/>
  <c r="M26" i="4" s="1"/>
  <c r="M38" i="4"/>
  <c r="M45" i="4" s="1"/>
  <c r="J11" i="4"/>
  <c r="J23" i="4"/>
  <c r="J26" i="4" s="1"/>
  <c r="J57" i="4"/>
  <c r="J77" i="4" s="1"/>
  <c r="J38" i="4"/>
  <c r="L11" i="4"/>
  <c r="L38" i="4"/>
  <c r="L45" i="4" s="1"/>
  <c r="L57" i="4"/>
  <c r="L23" i="4"/>
  <c r="L26" i="4" s="1"/>
  <c r="H52" i="4"/>
  <c r="P69" i="3"/>
  <c r="P85" i="3" s="1"/>
  <c r="L77" i="4"/>
  <c r="K77" i="4"/>
  <c r="N23" i="4"/>
  <c r="N26" i="4" s="1"/>
  <c r="N11" i="4"/>
  <c r="N38" i="4"/>
  <c r="N45" i="4" s="1"/>
  <c r="N57" i="4"/>
  <c r="N77" i="4" s="1"/>
  <c r="AV43" i="3"/>
  <c r="AW43" i="3" s="1"/>
  <c r="E11" i="4"/>
  <c r="E38" i="4"/>
  <c r="J69" i="3"/>
  <c r="J85" i="3" s="1"/>
  <c r="E23" i="4"/>
  <c r="E26" i="4" s="1"/>
  <c r="D23" i="4"/>
  <c r="D38" i="4"/>
  <c r="D11" i="4"/>
  <c r="I69" i="3"/>
  <c r="I85" i="3" s="1"/>
  <c r="J13" i="19"/>
  <c r="AA41" i="8"/>
  <c r="AA13" i="8" s="1"/>
  <c r="Z28" i="10"/>
  <c r="Z11" i="10" s="1"/>
  <c r="J52" i="4"/>
  <c r="O77" i="3"/>
  <c r="AN10" i="4"/>
  <c r="C32" i="9"/>
  <c r="C42" i="8"/>
  <c r="L52" i="4"/>
  <c r="Q77" i="3"/>
  <c r="Q82" i="3" s="1"/>
  <c r="Q86" i="3" s="1"/>
  <c r="T92" i="3"/>
  <c r="W99" i="3"/>
  <c r="F11" i="15"/>
  <c r="F15" i="15" s="1"/>
  <c r="G17" i="16" s="1"/>
  <c r="E33" i="10"/>
  <c r="E17" i="9" s="1"/>
  <c r="AN36" i="4"/>
  <c r="AN9" i="4"/>
  <c r="AN21" i="4"/>
  <c r="O92" i="3"/>
  <c r="F11" i="10"/>
  <c r="F35" i="17" s="1"/>
  <c r="S87" i="3"/>
  <c r="S99" i="3" s="1"/>
  <c r="K52" i="4"/>
  <c r="AN22" i="4"/>
  <c r="D37" i="4"/>
  <c r="AN37" i="4"/>
  <c r="AM42" i="13"/>
  <c r="AN42" i="13" s="1"/>
  <c r="X38" i="14"/>
  <c r="Z38" i="14"/>
  <c r="AA38" i="14"/>
  <c r="AC38" i="14"/>
  <c r="AB38" i="14"/>
  <c r="AD38" i="14"/>
  <c r="Q38" i="14"/>
  <c r="V44" i="13"/>
  <c r="R38" i="14"/>
  <c r="S38" i="14"/>
  <c r="U38" i="14"/>
  <c r="T38" i="14"/>
  <c r="V38" i="14"/>
  <c r="W38" i="14"/>
  <c r="Y38" i="14"/>
  <c r="AD85" i="3"/>
  <c r="AD87" i="3" s="1"/>
  <c r="AD99" i="3" s="1"/>
  <c r="AU45" i="6"/>
  <c r="AC47" i="6"/>
  <c r="G32" i="18"/>
  <c r="H32" i="18" s="1"/>
  <c r="G16" i="18"/>
  <c r="H16" i="18" s="1"/>
  <c r="J16" i="18"/>
  <c r="K16" i="18" s="1"/>
  <c r="C68" i="13"/>
  <c r="C71" i="13" s="1"/>
  <c r="C23" i="15"/>
  <c r="D67" i="13"/>
  <c r="D27" i="16"/>
  <c r="AG13" i="14"/>
  <c r="AE69" i="3"/>
  <c r="X8" i="12"/>
  <c r="X12" i="12" s="1"/>
  <c r="X14" i="12" s="1"/>
  <c r="X24" i="16"/>
  <c r="X8" i="16" s="1"/>
  <c r="AC8" i="17" s="1"/>
  <c r="Y12" i="11"/>
  <c r="Y19" i="11" s="1"/>
  <c r="W15" i="13"/>
  <c r="W16" i="13" s="1"/>
  <c r="X20" i="11"/>
  <c r="X9" i="13"/>
  <c r="Z29" i="11"/>
  <c r="Z23" i="11" s="1"/>
  <c r="Z25" i="16" s="1"/>
  <c r="Z9" i="16" s="1"/>
  <c r="AE11" i="17" s="1"/>
  <c r="Y22" i="15"/>
  <c r="AV66" i="3"/>
  <c r="AW66" i="3" s="1"/>
  <c r="U87" i="3"/>
  <c r="V28" i="10" s="1"/>
  <c r="V33" i="10" s="1"/>
  <c r="AV67" i="3"/>
  <c r="AW67" i="3" s="1"/>
  <c r="U92" i="3"/>
  <c r="T87" i="3"/>
  <c r="U28" i="10" s="1"/>
  <c r="AN50" i="4"/>
  <c r="M79" i="3"/>
  <c r="Q85" i="3"/>
  <c r="Y25" i="16"/>
  <c r="Y9" i="16" s="1"/>
  <c r="AD11" i="17" s="1"/>
  <c r="R77" i="3"/>
  <c r="R82" i="3" s="1"/>
  <c r="R86" i="3" s="1"/>
  <c r="R87" i="3" s="1"/>
  <c r="M52" i="4"/>
  <c r="E40" i="8"/>
  <c r="E11" i="8"/>
  <c r="D28" i="10"/>
  <c r="C99" i="3"/>
  <c r="C102" i="3" s="1"/>
  <c r="D98" i="3" s="1"/>
  <c r="D102" i="3" s="1"/>
  <c r="E98" i="3" s="1"/>
  <c r="E102" i="3" s="1"/>
  <c r="F98" i="3" s="1"/>
  <c r="AB33" i="10"/>
  <c r="AB11" i="10"/>
  <c r="H27" i="15"/>
  <c r="H11" i="15"/>
  <c r="H15" i="15" s="1"/>
  <c r="I17" i="16" s="1"/>
  <c r="M11" i="15"/>
  <c r="M15" i="15" s="1"/>
  <c r="M27" i="15"/>
  <c r="L75" i="3"/>
  <c r="L82" i="3" s="1"/>
  <c r="L86" i="3" s="1"/>
  <c r="L87" i="3" s="1"/>
  <c r="G31" i="4"/>
  <c r="H45" i="4"/>
  <c r="I75" i="3"/>
  <c r="I82" i="3" s="1"/>
  <c r="D31" i="4"/>
  <c r="AC33" i="10"/>
  <c r="J75" i="3"/>
  <c r="J82" i="3" s="1"/>
  <c r="J86" i="3" s="1"/>
  <c r="J87" i="3" s="1"/>
  <c r="E31" i="4"/>
  <c r="N75" i="3"/>
  <c r="N82" i="3" s="1"/>
  <c r="N86" i="3" s="1"/>
  <c r="N87" i="3" s="1"/>
  <c r="I31" i="4"/>
  <c r="J31" i="4"/>
  <c r="O75" i="3"/>
  <c r="F31" i="4"/>
  <c r="K75" i="3"/>
  <c r="K82" i="3" s="1"/>
  <c r="K86" i="3" s="1"/>
  <c r="K87" i="3" s="1"/>
  <c r="W33" i="10"/>
  <c r="X11" i="10"/>
  <c r="X33" i="10"/>
  <c r="U11" i="15"/>
  <c r="U15" i="15" s="1"/>
  <c r="U27" i="15"/>
  <c r="Q67" i="13"/>
  <c r="Q71" i="13" s="1"/>
  <c r="Q27" i="16"/>
  <c r="T67" i="13"/>
  <c r="T71" i="13" s="1"/>
  <c r="T73" i="13" s="1"/>
  <c r="T27" i="16"/>
  <c r="Q73" i="13"/>
  <c r="R67" i="13"/>
  <c r="R71" i="13" s="1"/>
  <c r="R73" i="13" s="1"/>
  <c r="R27" i="16"/>
  <c r="N67" i="13"/>
  <c r="N71" i="13" s="1"/>
  <c r="N73" i="13" s="1"/>
  <c r="N27" i="16"/>
  <c r="H67" i="13"/>
  <c r="H71" i="13" s="1"/>
  <c r="H73" i="13" s="1"/>
  <c r="H27" i="16"/>
  <c r="K67" i="13"/>
  <c r="K71" i="13" s="1"/>
  <c r="K73" i="13" s="1"/>
  <c r="K27" i="16"/>
  <c r="G67" i="13"/>
  <c r="G71" i="13" s="1"/>
  <c r="G73" i="13" s="1"/>
  <c r="G27" i="16"/>
  <c r="M27" i="16"/>
  <c r="M67" i="13"/>
  <c r="M71" i="13" s="1"/>
  <c r="M73" i="13" s="1"/>
  <c r="L11" i="15"/>
  <c r="L15" i="15" s="1"/>
  <c r="L27" i="15"/>
  <c r="P75" i="3"/>
  <c r="P82" i="3" s="1"/>
  <c r="P86" i="3" s="1"/>
  <c r="K31" i="4"/>
  <c r="Y33" i="10"/>
  <c r="Y11" i="10"/>
  <c r="S11" i="15"/>
  <c r="S15" i="15" s="1"/>
  <c r="S27" i="15"/>
  <c r="N11" i="15"/>
  <c r="N15" i="15" s="1"/>
  <c r="N27" i="15"/>
  <c r="K11" i="15"/>
  <c r="K15" i="15" s="1"/>
  <c r="K27" i="15"/>
  <c r="I11" i="15"/>
  <c r="I15" i="15" s="1"/>
  <c r="I27" i="15"/>
  <c r="F11" i="8"/>
  <c r="F40" i="8"/>
  <c r="D11" i="8"/>
  <c r="D40" i="8"/>
  <c r="T11" i="15"/>
  <c r="T15" i="15" s="1"/>
  <c r="T35" i="15" s="1"/>
  <c r="T27" i="15"/>
  <c r="G35" i="4"/>
  <c r="G45" i="4" s="1"/>
  <c r="M75" i="3"/>
  <c r="H31" i="4"/>
  <c r="D35" i="4"/>
  <c r="Q11" i="15"/>
  <c r="Q15" i="15" s="1"/>
  <c r="Q27" i="15"/>
  <c r="AB11" i="17"/>
  <c r="D27" i="18" s="1"/>
  <c r="AN48" i="4"/>
  <c r="R11" i="15"/>
  <c r="R15" i="15" s="1"/>
  <c r="R27" i="15"/>
  <c r="J11" i="15"/>
  <c r="J15" i="15" s="1"/>
  <c r="J27" i="15"/>
  <c r="O11" i="15"/>
  <c r="O15" i="15" s="1"/>
  <c r="O27" i="15"/>
  <c r="P11" i="15"/>
  <c r="P15" i="15" s="1"/>
  <c r="P27" i="15"/>
  <c r="E35" i="4"/>
  <c r="I35" i="4"/>
  <c r="J35" i="4"/>
  <c r="F35" i="4"/>
  <c r="F17" i="9"/>
  <c r="F8" i="9"/>
  <c r="O67" i="13"/>
  <c r="O71" i="13" s="1"/>
  <c r="O73" i="13" s="1"/>
  <c r="O27" i="16"/>
  <c r="V67" i="13"/>
  <c r="V27" i="16"/>
  <c r="U67" i="13"/>
  <c r="U71" i="13" s="1"/>
  <c r="U73" i="13" s="1"/>
  <c r="U27" i="16"/>
  <c r="P67" i="13"/>
  <c r="P71" i="13" s="1"/>
  <c r="P73" i="13" s="1"/>
  <c r="P27" i="16"/>
  <c r="S27" i="16"/>
  <c r="S67" i="13"/>
  <c r="S71" i="13" s="1"/>
  <c r="S73" i="13" s="1"/>
  <c r="L27" i="16"/>
  <c r="L67" i="13"/>
  <c r="L71" i="13" s="1"/>
  <c r="L73" i="13" s="1"/>
  <c r="J27" i="16"/>
  <c r="J67" i="13"/>
  <c r="J71" i="13" s="1"/>
  <c r="J73" i="13" s="1"/>
  <c r="F67" i="13"/>
  <c r="F71" i="13" s="1"/>
  <c r="F27" i="16"/>
  <c r="I67" i="13"/>
  <c r="I71" i="13" s="1"/>
  <c r="I73" i="13" s="1"/>
  <c r="I27" i="16"/>
  <c r="E67" i="13"/>
  <c r="E71" i="13" s="1"/>
  <c r="E27" i="16"/>
  <c r="D23" i="15"/>
  <c r="D68" i="13"/>
  <c r="K35" i="4"/>
  <c r="K45" i="4" s="1"/>
  <c r="E35" i="17"/>
  <c r="E45" i="17" s="1"/>
  <c r="E49" i="17" s="1"/>
  <c r="E51" i="17" s="1"/>
  <c r="E19" i="10"/>
  <c r="E21" i="10" s="1"/>
  <c r="AA33" i="10"/>
  <c r="AA11" i="10"/>
  <c r="AK44" i="13" l="1"/>
  <c r="AF39" i="14"/>
  <c r="AG38" i="14"/>
  <c r="AM43" i="13"/>
  <c r="G27" i="18"/>
  <c r="H27" i="18" s="1"/>
  <c r="H11" i="8"/>
  <c r="H25" i="36" s="1"/>
  <c r="H27" i="36" s="1"/>
  <c r="G40" i="8"/>
  <c r="H33" i="10"/>
  <c r="E8" i="9"/>
  <c r="AC92" i="3"/>
  <c r="Z92" i="3"/>
  <c r="J92" i="3"/>
  <c r="P87" i="3"/>
  <c r="P99" i="3" s="1"/>
  <c r="X92" i="3"/>
  <c r="V92" i="3"/>
  <c r="M92" i="3"/>
  <c r="AF44" i="13"/>
  <c r="AF54" i="13" s="1"/>
  <c r="AF56" i="13" s="1"/>
  <c r="AA39" i="14"/>
  <c r="Z44" i="13"/>
  <c r="Z54" i="13" s="1"/>
  <c r="Z56" i="13" s="1"/>
  <c r="U39" i="14"/>
  <c r="U40" i="14" s="1"/>
  <c r="AI44" i="13"/>
  <c r="AD39" i="14"/>
  <c r="AD40" i="14" s="1"/>
  <c r="AN43" i="13"/>
  <c r="R39" i="14"/>
  <c r="R40" i="14" s="1"/>
  <c r="W44" i="13"/>
  <c r="W54" i="13" s="1"/>
  <c r="W56" i="13" s="1"/>
  <c r="W23" i="15" s="1"/>
  <c r="AD44" i="13"/>
  <c r="AD54" i="13" s="1"/>
  <c r="AD56" i="13" s="1"/>
  <c r="Y39" i="14"/>
  <c r="Y40" i="14" s="1"/>
  <c r="X44" i="13"/>
  <c r="X54" i="13" s="1"/>
  <c r="X56" i="13" s="1"/>
  <c r="X23" i="15" s="1"/>
  <c r="X11" i="15" s="1"/>
  <c r="AD35" i="17" s="1"/>
  <c r="S39" i="14"/>
  <c r="S40" i="14" s="1"/>
  <c r="T39" i="14"/>
  <c r="Y44" i="13"/>
  <c r="Y54" i="13" s="1"/>
  <c r="Y56" i="13" s="1"/>
  <c r="Y23" i="15" s="1"/>
  <c r="Y11" i="15" s="1"/>
  <c r="AH44" i="13"/>
  <c r="AH54" i="13" s="1"/>
  <c r="AH56" i="13" s="1"/>
  <c r="AC39" i="14"/>
  <c r="AC40" i="14" s="1"/>
  <c r="AE44" i="13"/>
  <c r="AE54" i="13" s="1"/>
  <c r="AE56" i="13" s="1"/>
  <c r="Z39" i="14"/>
  <c r="Z40" i="14" s="1"/>
  <c r="AB39" i="14"/>
  <c r="AB40" i="14" s="1"/>
  <c r="AG44" i="13"/>
  <c r="AG54" i="13" s="1"/>
  <c r="AG56" i="13" s="1"/>
  <c r="T40" i="14"/>
  <c r="AJ44" i="13"/>
  <c r="AE39" i="14"/>
  <c r="AE40" i="14" s="1"/>
  <c r="AA40" i="14"/>
  <c r="AA44" i="13"/>
  <c r="AA54" i="13" s="1"/>
  <c r="AA56" i="13" s="1"/>
  <c r="V39" i="14"/>
  <c r="V40" i="14" s="1"/>
  <c r="AB44" i="13"/>
  <c r="AB54" i="13" s="1"/>
  <c r="AB56" i="13" s="1"/>
  <c r="W39" i="14"/>
  <c r="W40" i="14" s="1"/>
  <c r="AC44" i="13"/>
  <c r="AC54" i="13" s="1"/>
  <c r="AC56" i="13" s="1"/>
  <c r="X39" i="14"/>
  <c r="X40" i="14" s="1"/>
  <c r="AC51" i="6"/>
  <c r="AC52" i="6" s="1"/>
  <c r="AF16" i="8" s="1"/>
  <c r="AF16" i="17" s="1"/>
  <c r="AF18" i="10"/>
  <c r="AF43" i="17" s="1"/>
  <c r="AD33" i="10"/>
  <c r="AD8" i="9" s="1"/>
  <c r="I45" i="4"/>
  <c r="F45" i="4"/>
  <c r="Q87" i="3"/>
  <c r="R28" i="10" s="1"/>
  <c r="J45" i="4"/>
  <c r="F99" i="3"/>
  <c r="G28" i="10"/>
  <c r="O82" i="3"/>
  <c r="O86" i="3" s="1"/>
  <c r="O87" i="3" s="1"/>
  <c r="P28" i="10" s="1"/>
  <c r="AN23" i="4"/>
  <c r="AN26" i="4" s="1"/>
  <c r="D26" i="4"/>
  <c r="H99" i="3"/>
  <c r="I28" i="10"/>
  <c r="R92" i="3"/>
  <c r="I92" i="3"/>
  <c r="D45" i="4"/>
  <c r="F102" i="3"/>
  <c r="G98" i="3" s="1"/>
  <c r="G102" i="3" s="1"/>
  <c r="H98" i="3" s="1"/>
  <c r="AB92" i="3"/>
  <c r="W92" i="3"/>
  <c r="N92" i="3"/>
  <c r="P92" i="3"/>
  <c r="AN38" i="4"/>
  <c r="E45" i="4"/>
  <c r="AD92" i="3"/>
  <c r="S92" i="3"/>
  <c r="L92" i="3"/>
  <c r="Y92" i="3"/>
  <c r="AA92" i="3"/>
  <c r="Q92" i="3"/>
  <c r="AN11" i="4"/>
  <c r="AN13" i="4" s="1"/>
  <c r="K92" i="3"/>
  <c r="H92" i="3"/>
  <c r="H95" i="3" s="1"/>
  <c r="I38" i="8" s="1"/>
  <c r="AE85" i="3"/>
  <c r="AE87" i="3" s="1"/>
  <c r="AE92" i="3"/>
  <c r="AA23" i="11"/>
  <c r="AA25" i="16" s="1"/>
  <c r="Z33" i="10"/>
  <c r="Z35" i="10" s="1"/>
  <c r="T28" i="10"/>
  <c r="T11" i="10" s="1"/>
  <c r="T35" i="17" s="1"/>
  <c r="U17" i="15"/>
  <c r="U35" i="15"/>
  <c r="C12" i="8"/>
  <c r="C43" i="8"/>
  <c r="K13" i="19"/>
  <c r="AB41" i="8"/>
  <c r="AB13" i="8" s="1"/>
  <c r="AN44" i="13"/>
  <c r="AM44" i="13"/>
  <c r="Y11" i="11"/>
  <c r="X15" i="13" s="1"/>
  <c r="X26" i="16"/>
  <c r="W68" i="13"/>
  <c r="V54" i="13"/>
  <c r="V56" i="13" s="1"/>
  <c r="V61" i="13"/>
  <c r="V64" i="13" s="1"/>
  <c r="W27" i="16" s="1"/>
  <c r="W10" i="16" s="1"/>
  <c r="W11" i="16" s="1"/>
  <c r="Q40" i="14"/>
  <c r="AE28" i="10"/>
  <c r="AE33" i="10" s="1"/>
  <c r="U99" i="3"/>
  <c r="T99" i="3"/>
  <c r="D10" i="16"/>
  <c r="D11" i="16" s="1"/>
  <c r="E15" i="16" s="1"/>
  <c r="D28" i="16"/>
  <c r="D71" i="13"/>
  <c r="C27" i="15"/>
  <c r="C11" i="15"/>
  <c r="C15" i="15" s="1"/>
  <c r="D17" i="16" s="1"/>
  <c r="D18" i="16" s="1"/>
  <c r="D19" i="16" s="1"/>
  <c r="X24" i="15"/>
  <c r="X12" i="13"/>
  <c r="X14" i="13" s="1"/>
  <c r="W19" i="13"/>
  <c r="W21" i="13"/>
  <c r="W60" i="13" s="1"/>
  <c r="W69" i="13"/>
  <c r="V11" i="10"/>
  <c r="V35" i="17" s="1"/>
  <c r="AN52" i="4"/>
  <c r="M82" i="3"/>
  <c r="M86" i="3" s="1"/>
  <c r="M87" i="3" s="1"/>
  <c r="N28" i="10" s="1"/>
  <c r="F10" i="16"/>
  <c r="F11" i="16" s="1"/>
  <c r="G15" i="16" s="1"/>
  <c r="G18" i="16" s="1"/>
  <c r="F28" i="16"/>
  <c r="O10" i="16"/>
  <c r="O11" i="16" s="1"/>
  <c r="P15" i="16" s="1"/>
  <c r="O28" i="16"/>
  <c r="Q17" i="16"/>
  <c r="P17" i="15"/>
  <c r="O17" i="15"/>
  <c r="P17" i="16"/>
  <c r="J17" i="15"/>
  <c r="K17" i="16"/>
  <c r="S17" i="16"/>
  <c r="R17" i="15"/>
  <c r="Z35" i="17"/>
  <c r="Z19" i="10"/>
  <c r="U17" i="16"/>
  <c r="T17" i="15"/>
  <c r="I7" i="9"/>
  <c r="H7" i="9"/>
  <c r="D12" i="17"/>
  <c r="F12" i="17"/>
  <c r="Y35" i="17"/>
  <c r="Y19" i="10"/>
  <c r="M28" i="16"/>
  <c r="M10" i="16"/>
  <c r="M11" i="16" s="1"/>
  <c r="N15" i="16" s="1"/>
  <c r="K10" i="16"/>
  <c r="K11" i="16" s="1"/>
  <c r="L15" i="16" s="1"/>
  <c r="K28" i="16"/>
  <c r="H10" i="16"/>
  <c r="H11" i="16" s="1"/>
  <c r="I15" i="16" s="1"/>
  <c r="I18" i="16" s="1"/>
  <c r="H28" i="16"/>
  <c r="N10" i="16"/>
  <c r="N11" i="16" s="1"/>
  <c r="O15" i="16" s="1"/>
  <c r="N28" i="16"/>
  <c r="T10" i="16"/>
  <c r="T11" i="16" s="1"/>
  <c r="U15" i="16" s="1"/>
  <c r="T28" i="16"/>
  <c r="V17" i="16"/>
  <c r="X35" i="17"/>
  <c r="X19" i="10"/>
  <c r="W8" i="9"/>
  <c r="W35" i="10"/>
  <c r="W17" i="9"/>
  <c r="H35" i="17"/>
  <c r="O28" i="10"/>
  <c r="N99" i="3"/>
  <c r="K28" i="10"/>
  <c r="J99" i="3"/>
  <c r="AC19" i="10"/>
  <c r="AN31" i="4"/>
  <c r="AB19" i="10"/>
  <c r="D11" i="10"/>
  <c r="D33" i="10"/>
  <c r="F7" i="9"/>
  <c r="F11" i="9" s="1"/>
  <c r="F12" i="9" s="1"/>
  <c r="U33" i="10"/>
  <c r="U11" i="10"/>
  <c r="D11" i="15"/>
  <c r="D15" i="15" s="1"/>
  <c r="E17" i="16" s="1"/>
  <c r="E18" i="16" s="1"/>
  <c r="D27" i="15"/>
  <c r="J10" i="16"/>
  <c r="J11" i="16" s="1"/>
  <c r="K15" i="16" s="1"/>
  <c r="J28" i="16"/>
  <c r="S10" i="16"/>
  <c r="S11" i="16" s="1"/>
  <c r="T15" i="16" s="1"/>
  <c r="S28" i="16"/>
  <c r="U10" i="16"/>
  <c r="U11" i="16" s="1"/>
  <c r="U28" i="16"/>
  <c r="E10" i="16"/>
  <c r="E11" i="16" s="1"/>
  <c r="E28" i="16"/>
  <c r="I10" i="16"/>
  <c r="I11" i="16" s="1"/>
  <c r="J15" i="16" s="1"/>
  <c r="I28" i="16"/>
  <c r="L10" i="16"/>
  <c r="L11" i="16" s="1"/>
  <c r="M15" i="16" s="1"/>
  <c r="L28" i="16"/>
  <c r="P10" i="16"/>
  <c r="P11" i="16" s="1"/>
  <c r="Q15" i="16" s="1"/>
  <c r="P28" i="16"/>
  <c r="V10" i="16"/>
  <c r="V11" i="16" s="1"/>
  <c r="V28" i="16"/>
  <c r="AD19" i="10"/>
  <c r="Q17" i="15"/>
  <c r="Q19" i="15" s="1"/>
  <c r="R17" i="16"/>
  <c r="H12" i="17"/>
  <c r="G12" i="17"/>
  <c r="E7" i="9"/>
  <c r="E11" i="9" s="1"/>
  <c r="E12" i="9" s="1"/>
  <c r="G7" i="9"/>
  <c r="I17" i="15"/>
  <c r="J17" i="16"/>
  <c r="L17" i="16"/>
  <c r="K17" i="15"/>
  <c r="O17" i="16"/>
  <c r="N17" i="15"/>
  <c r="T17" i="16"/>
  <c r="S17" i="15"/>
  <c r="Y8" i="9"/>
  <c r="Y35" i="10"/>
  <c r="Y17" i="9"/>
  <c r="M17" i="16"/>
  <c r="L17" i="15"/>
  <c r="G28" i="16"/>
  <c r="G10" i="16"/>
  <c r="G11" i="16" s="1"/>
  <c r="H15" i="16" s="1"/>
  <c r="H18" i="16" s="1"/>
  <c r="R10" i="16"/>
  <c r="R11" i="16" s="1"/>
  <c r="S15" i="16" s="1"/>
  <c r="R28" i="16"/>
  <c r="Q28" i="16"/>
  <c r="Q10" i="16"/>
  <c r="Q11" i="16" s="1"/>
  <c r="R15" i="16" s="1"/>
  <c r="X35" i="10"/>
  <c r="X17" i="9"/>
  <c r="X8" i="9"/>
  <c r="W35" i="17"/>
  <c r="W19" i="10"/>
  <c r="H17" i="9"/>
  <c r="H8" i="9"/>
  <c r="H35" i="10"/>
  <c r="L28" i="10"/>
  <c r="K99" i="3"/>
  <c r="AC17" i="9"/>
  <c r="AC8" i="9"/>
  <c r="AC35" i="10"/>
  <c r="L94" i="3"/>
  <c r="L95" i="3" s="1"/>
  <c r="M38" i="8" s="1"/>
  <c r="K94" i="3"/>
  <c r="J94" i="3"/>
  <c r="I94" i="3"/>
  <c r="I95" i="3" s="1"/>
  <c r="J38" i="8" s="1"/>
  <c r="I86" i="3"/>
  <c r="I87" i="3" s="1"/>
  <c r="AN35" i="4"/>
  <c r="L99" i="3"/>
  <c r="M28" i="10"/>
  <c r="M17" i="15"/>
  <c r="N17" i="16"/>
  <c r="AB17" i="9"/>
  <c r="AB35" i="10"/>
  <c r="AB8" i="9"/>
  <c r="V17" i="9"/>
  <c r="V8" i="9"/>
  <c r="V35" i="10"/>
  <c r="E12" i="17"/>
  <c r="R99" i="3"/>
  <c r="S28" i="10"/>
  <c r="AA19" i="10"/>
  <c r="AA35" i="17"/>
  <c r="AA8" i="9"/>
  <c r="AA35" i="10"/>
  <c r="AA17" i="9"/>
  <c r="E8" i="18" l="1"/>
  <c r="AG39" i="14"/>
  <c r="AG40" i="14" s="1"/>
  <c r="X15" i="16"/>
  <c r="W13" i="16"/>
  <c r="D54" i="18" s="1"/>
  <c r="D56" i="18" s="1"/>
  <c r="AB26" i="8"/>
  <c r="AB22" i="10"/>
  <c r="C57" i="18" s="1"/>
  <c r="C64" i="18" s="1"/>
  <c r="AD26" i="8"/>
  <c r="AC26" i="8"/>
  <c r="Z8" i="9"/>
  <c r="S18" i="16"/>
  <c r="S19" i="16" s="1"/>
  <c r="X68" i="13"/>
  <c r="W61" i="13"/>
  <c r="W64" i="13" s="1"/>
  <c r="X67" i="13" s="1"/>
  <c r="Z12" i="11"/>
  <c r="Z19" i="11" s="1"/>
  <c r="X61" i="13"/>
  <c r="Y68" i="13"/>
  <c r="Y61" i="13"/>
  <c r="Z61" i="13"/>
  <c r="J95" i="3"/>
  <c r="K38" i="8" s="1"/>
  <c r="K40" i="8" s="1"/>
  <c r="Q28" i="10"/>
  <c r="Z17" i="9"/>
  <c r="Q99" i="3"/>
  <c r="Y24" i="16"/>
  <c r="Y8" i="16" s="1"/>
  <c r="AD8" i="17" s="1"/>
  <c r="Y9" i="13"/>
  <c r="Y8" i="12"/>
  <c r="Y12" i="12" s="1"/>
  <c r="Y14" i="12" s="1"/>
  <c r="Y24" i="15" s="1"/>
  <c r="Y12" i="15" s="1"/>
  <c r="AE36" i="17" s="1"/>
  <c r="AA9" i="16"/>
  <c r="AF11" i="17" s="1"/>
  <c r="Z68" i="13"/>
  <c r="Z23" i="15"/>
  <c r="AF40" i="14"/>
  <c r="AD17" i="9"/>
  <c r="AD35" i="10"/>
  <c r="AE35" i="10"/>
  <c r="AE8" i="9"/>
  <c r="AE17" i="9"/>
  <c r="AE99" i="3"/>
  <c r="AF28" i="10"/>
  <c r="AN45" i="4"/>
  <c r="O99" i="3"/>
  <c r="T19" i="10"/>
  <c r="AE94" i="3"/>
  <c r="AE95" i="3" s="1"/>
  <c r="AF38" i="8" s="1"/>
  <c r="T33" i="10"/>
  <c r="I33" i="10"/>
  <c r="I11" i="10"/>
  <c r="I35" i="17" s="1"/>
  <c r="K95" i="3"/>
  <c r="L38" i="8" s="1"/>
  <c r="L40" i="8" s="1"/>
  <c r="V19" i="10"/>
  <c r="G33" i="10"/>
  <c r="G11" i="10"/>
  <c r="G35" i="17" s="1"/>
  <c r="Z94" i="3"/>
  <c r="Z95" i="3" s="1"/>
  <c r="AA38" i="8" s="1"/>
  <c r="AD94" i="3"/>
  <c r="AD95" i="3" s="1"/>
  <c r="AE38" i="8" s="1"/>
  <c r="AE40" i="8" s="1"/>
  <c r="AF7" i="9" s="1"/>
  <c r="O94" i="3"/>
  <c r="O95" i="3" s="1"/>
  <c r="I40" i="8"/>
  <c r="J7" i="9" s="1"/>
  <c r="I11" i="8"/>
  <c r="H102" i="3"/>
  <c r="AE11" i="10"/>
  <c r="AE19" i="10" s="1"/>
  <c r="X94" i="3"/>
  <c r="X95" i="3" s="1"/>
  <c r="Y38" i="8" s="1"/>
  <c r="T94" i="3"/>
  <c r="T95" i="3" s="1"/>
  <c r="U38" i="8" s="1"/>
  <c r="M99" i="3"/>
  <c r="AC41" i="8"/>
  <c r="AC13" i="8" s="1"/>
  <c r="L13" i="19"/>
  <c r="C17" i="8"/>
  <c r="C19" i="8" s="1"/>
  <c r="C13" i="17"/>
  <c r="C17" i="17" s="1"/>
  <c r="Y20" i="11"/>
  <c r="W67" i="13"/>
  <c r="W71" i="13" s="1"/>
  <c r="W28" i="16"/>
  <c r="W15" i="16"/>
  <c r="V13" i="16"/>
  <c r="V23" i="15"/>
  <c r="V68" i="13"/>
  <c r="V71" i="13" s="1"/>
  <c r="V73" i="13" s="1"/>
  <c r="W11" i="15"/>
  <c r="W27" i="15"/>
  <c r="AA26" i="8"/>
  <c r="AA22" i="10"/>
  <c r="K18" i="16"/>
  <c r="K13" i="16" s="1"/>
  <c r="H19" i="16"/>
  <c r="X16" i="13"/>
  <c r="X69" i="13" s="1"/>
  <c r="X12" i="15"/>
  <c r="X27" i="15"/>
  <c r="V15" i="16"/>
  <c r="V18" i="16" s="1"/>
  <c r="V19" i="16" s="1"/>
  <c r="U13" i="16"/>
  <c r="Z26" i="8"/>
  <c r="Z22" i="10"/>
  <c r="P94" i="3"/>
  <c r="P95" i="3" s="1"/>
  <c r="Q38" i="8" s="1"/>
  <c r="AC94" i="3"/>
  <c r="AC95" i="3" s="1"/>
  <c r="AD38" i="8" s="1"/>
  <c r="S94" i="3"/>
  <c r="S95" i="3" s="1"/>
  <c r="T38" i="8" s="1"/>
  <c r="W94" i="3"/>
  <c r="W95" i="3" s="1"/>
  <c r="X38" i="8" s="1"/>
  <c r="R18" i="16"/>
  <c r="R19" i="16" s="1"/>
  <c r="Q18" i="16"/>
  <c r="Q13" i="16" s="1"/>
  <c r="M18" i="16"/>
  <c r="M19" i="16" s="1"/>
  <c r="J18" i="16"/>
  <c r="J19" i="16" s="1"/>
  <c r="Y94" i="3"/>
  <c r="Y95" i="3" s="1"/>
  <c r="Z38" i="8" s="1"/>
  <c r="U94" i="3"/>
  <c r="U95" i="3" s="1"/>
  <c r="V38" i="8" s="1"/>
  <c r="N94" i="3"/>
  <c r="N95" i="3" s="1"/>
  <c r="O38" i="8" s="1"/>
  <c r="V94" i="3"/>
  <c r="V95" i="3" s="1"/>
  <c r="W38" i="8" s="1"/>
  <c r="AA94" i="3"/>
  <c r="AA95" i="3" s="1"/>
  <c r="AB38" i="8" s="1"/>
  <c r="AB94" i="3"/>
  <c r="AB95" i="3" s="1"/>
  <c r="AC38" i="8" s="1"/>
  <c r="R94" i="3"/>
  <c r="R95" i="3" s="1"/>
  <c r="S38" i="8" s="1"/>
  <c r="Q94" i="3"/>
  <c r="Q95" i="3" s="1"/>
  <c r="R38" i="8" s="1"/>
  <c r="M94" i="3"/>
  <c r="M95" i="3" s="1"/>
  <c r="N38" i="8" s="1"/>
  <c r="R33" i="10"/>
  <c r="R11" i="10"/>
  <c r="R35" i="17" s="1"/>
  <c r="M33" i="10"/>
  <c r="M11" i="10"/>
  <c r="J28" i="10"/>
  <c r="I99" i="3"/>
  <c r="J39" i="17"/>
  <c r="J10" i="17"/>
  <c r="F15" i="16"/>
  <c r="F18" i="16" s="1"/>
  <c r="F19" i="16" s="1"/>
  <c r="U35" i="17"/>
  <c r="U19" i="10"/>
  <c r="D35" i="17"/>
  <c r="D45" i="17" s="1"/>
  <c r="D49" i="17" s="1"/>
  <c r="D51" i="17" s="1"/>
  <c r="D19" i="10"/>
  <c r="D21" i="10" s="1"/>
  <c r="K11" i="10"/>
  <c r="K33" i="10"/>
  <c r="O11" i="10"/>
  <c r="O33" i="10"/>
  <c r="T13" i="16"/>
  <c r="U18" i="16"/>
  <c r="U19" i="16" s="1"/>
  <c r="O18" i="16"/>
  <c r="I19" i="16"/>
  <c r="L18" i="16"/>
  <c r="S11" i="10"/>
  <c r="S33" i="10"/>
  <c r="Q33" i="10"/>
  <c r="Q11" i="10"/>
  <c r="J40" i="8"/>
  <c r="J11" i="8"/>
  <c r="J25" i="36" s="1"/>
  <c r="J27" i="36" s="1"/>
  <c r="K11" i="8"/>
  <c r="K25" i="36" s="1"/>
  <c r="K27" i="36" s="1"/>
  <c r="P38" i="8"/>
  <c r="M40" i="8"/>
  <c r="M11" i="8"/>
  <c r="M25" i="36" s="1"/>
  <c r="M27" i="36" s="1"/>
  <c r="P11" i="10"/>
  <c r="P33" i="10"/>
  <c r="L11" i="10"/>
  <c r="L33" i="10"/>
  <c r="W26" i="8"/>
  <c r="W22" i="10"/>
  <c r="N11" i="10"/>
  <c r="N33" i="10"/>
  <c r="T18" i="16"/>
  <c r="T19" i="16" s="1"/>
  <c r="S13" i="16"/>
  <c r="E19" i="16"/>
  <c r="U35" i="10"/>
  <c r="U8" i="9"/>
  <c r="U17" i="9"/>
  <c r="D17" i="9"/>
  <c r="D20" i="9" s="1"/>
  <c r="D8" i="9"/>
  <c r="D11" i="9" s="1"/>
  <c r="D12" i="9" s="1"/>
  <c r="X26" i="8"/>
  <c r="X22" i="10"/>
  <c r="N18" i="16"/>
  <c r="Y26" i="8"/>
  <c r="Y22" i="10"/>
  <c r="H11" i="9"/>
  <c r="H12" i="9" s="1"/>
  <c r="P18" i="16"/>
  <c r="G19" i="16"/>
  <c r="K19" i="16" l="1"/>
  <c r="I12" i="17"/>
  <c r="I25" i="36"/>
  <c r="I27" i="36" s="1"/>
  <c r="V26" i="8"/>
  <c r="T22" i="10"/>
  <c r="AE26" i="8"/>
  <c r="Y27" i="15"/>
  <c r="Z11" i="11"/>
  <c r="Z24" i="16" s="1"/>
  <c r="L11" i="8"/>
  <c r="L25" i="36" s="1"/>
  <c r="L27" i="36" s="1"/>
  <c r="Y15" i="15"/>
  <c r="Y17" i="15" s="1"/>
  <c r="Y26" i="16"/>
  <c r="Y12" i="13"/>
  <c r="Y14" i="13" s="1"/>
  <c r="Z11" i="15"/>
  <c r="AF11" i="8"/>
  <c r="AF25" i="36" s="1"/>
  <c r="AF27" i="36" s="1"/>
  <c r="AF34" i="36" s="1"/>
  <c r="AF40" i="8"/>
  <c r="AF11" i="10"/>
  <c r="AF33" i="10"/>
  <c r="T26" i="8"/>
  <c r="AE11" i="8"/>
  <c r="AE25" i="36" s="1"/>
  <c r="AE27" i="36" s="1"/>
  <c r="AE34" i="36" s="1"/>
  <c r="V22" i="10"/>
  <c r="T35" i="10"/>
  <c r="T8" i="9"/>
  <c r="T17" i="9"/>
  <c r="G8" i="9"/>
  <c r="G11" i="9" s="1"/>
  <c r="G12" i="9" s="1"/>
  <c r="G17" i="9"/>
  <c r="G35" i="10"/>
  <c r="I98" i="3"/>
  <c r="I102" i="3" s="1"/>
  <c r="J98" i="3" s="1"/>
  <c r="J102" i="3" s="1"/>
  <c r="K98" i="3" s="1"/>
  <c r="K102" i="3" s="1"/>
  <c r="L98" i="3" s="1"/>
  <c r="L102" i="3" s="1"/>
  <c r="M98" i="3" s="1"/>
  <c r="M102" i="3" s="1"/>
  <c r="H104" i="3"/>
  <c r="I17" i="9"/>
  <c r="I8" i="9"/>
  <c r="I11" i="9" s="1"/>
  <c r="I12" i="9" s="1"/>
  <c r="I35" i="10"/>
  <c r="AE35" i="17"/>
  <c r="AE45" i="17" s="1"/>
  <c r="C65" i="18"/>
  <c r="M13" i="19"/>
  <c r="AD41" i="8"/>
  <c r="AD13" i="8" s="1"/>
  <c r="X27" i="16"/>
  <c r="X10" i="16" s="1"/>
  <c r="X11" i="16" s="1"/>
  <c r="Y15" i="16" s="1"/>
  <c r="W73" i="13"/>
  <c r="V11" i="15"/>
  <c r="V27" i="15"/>
  <c r="W15" i="15"/>
  <c r="AC35" i="17"/>
  <c r="AC45" i="17" s="1"/>
  <c r="AC25" i="17" s="1"/>
  <c r="M13" i="16"/>
  <c r="X71" i="13"/>
  <c r="X19" i="13"/>
  <c r="X21" i="13"/>
  <c r="X60" i="13" s="1"/>
  <c r="X64" i="13" s="1"/>
  <c r="Y67" i="13" s="1"/>
  <c r="AD36" i="17"/>
  <c r="AD45" i="17" s="1"/>
  <c r="AD25" i="17" s="1"/>
  <c r="X15" i="15"/>
  <c r="J13" i="16"/>
  <c r="Q19" i="16"/>
  <c r="R13" i="16"/>
  <c r="R17" i="9"/>
  <c r="R35" i="10"/>
  <c r="R8" i="9"/>
  <c r="P13" i="16"/>
  <c r="P19" i="16"/>
  <c r="E16" i="9"/>
  <c r="E20" i="9" s="1"/>
  <c r="D22" i="9"/>
  <c r="N35" i="17"/>
  <c r="L8" i="9"/>
  <c r="L35" i="10"/>
  <c r="L17" i="9"/>
  <c r="P35" i="10"/>
  <c r="P17" i="9"/>
  <c r="P8" i="9"/>
  <c r="M12" i="17"/>
  <c r="L7" i="9"/>
  <c r="J12" i="17"/>
  <c r="Q17" i="9"/>
  <c r="Q8" i="9"/>
  <c r="Q35" i="10"/>
  <c r="N40" i="8"/>
  <c r="N11" i="8"/>
  <c r="N25" i="36" s="1"/>
  <c r="N27" i="36" s="1"/>
  <c r="S40" i="8"/>
  <c r="S11" i="8"/>
  <c r="S25" i="36" s="1"/>
  <c r="S27" i="36" s="1"/>
  <c r="AC40" i="8"/>
  <c r="AD7" i="9" s="1"/>
  <c r="AD11" i="9" s="1"/>
  <c r="AC11" i="8"/>
  <c r="AC25" i="36" s="1"/>
  <c r="AC27" i="36" s="1"/>
  <c r="AC34" i="36" s="1"/>
  <c r="AB40" i="8"/>
  <c r="AB11" i="8"/>
  <c r="V40" i="8"/>
  <c r="V11" i="8"/>
  <c r="V25" i="36" s="1"/>
  <c r="V27" i="36" s="1"/>
  <c r="S35" i="17"/>
  <c r="O35" i="17"/>
  <c r="K35" i="17"/>
  <c r="U22" i="10"/>
  <c r="U26" i="8"/>
  <c r="R40" i="8"/>
  <c r="R11" i="8"/>
  <c r="R25" i="36" s="1"/>
  <c r="R27" i="36" s="1"/>
  <c r="W40" i="8"/>
  <c r="W11" i="8"/>
  <c r="W25" i="36" s="1"/>
  <c r="W27" i="36" s="1"/>
  <c r="J33" i="10"/>
  <c r="J11" i="10"/>
  <c r="Z40" i="8"/>
  <c r="Z11" i="8"/>
  <c r="Z25" i="36" s="1"/>
  <c r="Z27" i="36" s="1"/>
  <c r="M35" i="10"/>
  <c r="M17" i="9"/>
  <c r="M8" i="9"/>
  <c r="N13" i="16"/>
  <c r="N19" i="16"/>
  <c r="N8" i="9"/>
  <c r="N35" i="10"/>
  <c r="N17" i="9"/>
  <c r="L35" i="17"/>
  <c r="P35" i="17"/>
  <c r="N7" i="9"/>
  <c r="P11" i="8"/>
  <c r="P25" i="36" s="1"/>
  <c r="P27" i="36" s="1"/>
  <c r="P40" i="8"/>
  <c r="X40" i="8"/>
  <c r="X11" i="8"/>
  <c r="X25" i="36" s="1"/>
  <c r="X27" i="36" s="1"/>
  <c r="AA11" i="8"/>
  <c r="AA40" i="8"/>
  <c r="AB7" i="9" s="1"/>
  <c r="AB11" i="9" s="1"/>
  <c r="U40" i="8"/>
  <c r="U11" i="8"/>
  <c r="U25" i="36" s="1"/>
  <c r="U27" i="36" s="1"/>
  <c r="T11" i="8"/>
  <c r="T25" i="36" s="1"/>
  <c r="T27" i="36" s="1"/>
  <c r="T40" i="8"/>
  <c r="K12" i="17"/>
  <c r="AD40" i="8"/>
  <c r="AE7" i="9" s="1"/>
  <c r="AE11" i="9" s="1"/>
  <c r="AE12" i="9" s="1"/>
  <c r="AD11" i="8"/>
  <c r="AD25" i="36" s="1"/>
  <c r="AD27" i="36" s="1"/>
  <c r="AD34" i="36" s="1"/>
  <c r="K7" i="9"/>
  <c r="Y40" i="8"/>
  <c r="Y11" i="8"/>
  <c r="Y25" i="36" s="1"/>
  <c r="Y27" i="36" s="1"/>
  <c r="Q40" i="8"/>
  <c r="Q11" i="8"/>
  <c r="Q25" i="36" s="1"/>
  <c r="Q27" i="36" s="1"/>
  <c r="Q35" i="17"/>
  <c r="O11" i="8"/>
  <c r="O25" i="36" s="1"/>
  <c r="O27" i="36" s="1"/>
  <c r="O40" i="8"/>
  <c r="S8" i="9"/>
  <c r="S35" i="10"/>
  <c r="S17" i="9"/>
  <c r="L19" i="16"/>
  <c r="L13" i="16"/>
  <c r="O19" i="16"/>
  <c r="O13" i="16"/>
  <c r="O35" i="10"/>
  <c r="O17" i="9"/>
  <c r="O8" i="9"/>
  <c r="K17" i="9"/>
  <c r="K8" i="9"/>
  <c r="K35" i="10"/>
  <c r="M7" i="9"/>
  <c r="M35" i="17"/>
  <c r="AE46" i="17" l="1"/>
  <c r="AE25" i="17"/>
  <c r="AB12" i="17"/>
  <c r="D28" i="18" s="1"/>
  <c r="AB25" i="36"/>
  <c r="AB27" i="36" s="1"/>
  <c r="AA12" i="17"/>
  <c r="E28" i="18" s="1"/>
  <c r="AA25" i="36"/>
  <c r="AA27" i="36" s="1"/>
  <c r="L12" i="17"/>
  <c r="Y15" i="13"/>
  <c r="AA12" i="11"/>
  <c r="AA19" i="11" s="1"/>
  <c r="Z8" i="12"/>
  <c r="Z12" i="12" s="1"/>
  <c r="Z14" i="12" s="1"/>
  <c r="Z24" i="15" s="1"/>
  <c r="Z26" i="16"/>
  <c r="Z8" i="16"/>
  <c r="AE8" i="17" s="1"/>
  <c r="Z9" i="13"/>
  <c r="Z20" i="11"/>
  <c r="Z17" i="16"/>
  <c r="Y16" i="13"/>
  <c r="Y21" i="13" s="1"/>
  <c r="Y60" i="13" s="1"/>
  <c r="Y64" i="13" s="1"/>
  <c r="AF35" i="17"/>
  <c r="AF19" i="10"/>
  <c r="AF35" i="10"/>
  <c r="AF8" i="9"/>
  <c r="AF11" i="9" s="1"/>
  <c r="AF12" i="9" s="1"/>
  <c r="AF17" i="9"/>
  <c r="AE41" i="8"/>
  <c r="AE13" i="8" s="1"/>
  <c r="N13" i="19"/>
  <c r="M104" i="3"/>
  <c r="N98" i="3"/>
  <c r="N102" i="3" s="1"/>
  <c r="O98" i="3" s="1"/>
  <c r="O102" i="3" s="1"/>
  <c r="AE49" i="17"/>
  <c r="AE51" i="17" s="1"/>
  <c r="AC12" i="17"/>
  <c r="X28" i="16"/>
  <c r="AC49" i="17"/>
  <c r="AC51" i="17" s="1"/>
  <c r="AC46" i="17"/>
  <c r="W17" i="15"/>
  <c r="X17" i="16"/>
  <c r="X18" i="16" s="1"/>
  <c r="X19" i="16" s="1"/>
  <c r="V15" i="15"/>
  <c r="V35" i="15" s="1"/>
  <c r="AB35" i="17"/>
  <c r="X73" i="13"/>
  <c r="Y27" i="16"/>
  <c r="Y10" i="16" s="1"/>
  <c r="Y11" i="16" s="1"/>
  <c r="Z15" i="16" s="1"/>
  <c r="X17" i="15"/>
  <c r="Y17" i="16"/>
  <c r="Y18" i="16" s="1"/>
  <c r="AD46" i="17"/>
  <c r="AD49" i="17"/>
  <c r="AD51" i="17" s="1"/>
  <c r="N11" i="9"/>
  <c r="N12" i="9" s="1"/>
  <c r="L11" i="9"/>
  <c r="L12" i="9" s="1"/>
  <c r="U7" i="9"/>
  <c r="U11" i="9" s="1"/>
  <c r="U12" i="9" s="1"/>
  <c r="U12" i="17"/>
  <c r="Q7" i="9"/>
  <c r="Q11" i="9" s="1"/>
  <c r="Q12" i="9" s="1"/>
  <c r="J35" i="10"/>
  <c r="J17" i="9"/>
  <c r="J8" i="9"/>
  <c r="J11" i="9" s="1"/>
  <c r="J12" i="9" s="1"/>
  <c r="X7" i="9"/>
  <c r="X11" i="9" s="1"/>
  <c r="X12" i="9" s="1"/>
  <c r="V12" i="17"/>
  <c r="N12" i="17"/>
  <c r="O12" i="17"/>
  <c r="R7" i="9"/>
  <c r="R11" i="9" s="1"/>
  <c r="R12" i="9" s="1"/>
  <c r="Z7" i="9"/>
  <c r="Z11" i="9" s="1"/>
  <c r="Z12" i="9" s="1"/>
  <c r="X12" i="17"/>
  <c r="AA7" i="9"/>
  <c r="AA11" i="9" s="1"/>
  <c r="AA12" i="9" s="1"/>
  <c r="S7" i="9"/>
  <c r="S11" i="9" s="1"/>
  <c r="S12" i="9" s="1"/>
  <c r="S12" i="17"/>
  <c r="D32" i="9"/>
  <c r="D42" i="8"/>
  <c r="M11" i="9"/>
  <c r="M12" i="9" s="1"/>
  <c r="P7" i="9"/>
  <c r="P11" i="9" s="1"/>
  <c r="P12" i="9" s="1"/>
  <c r="Q12" i="17"/>
  <c r="Y12" i="17"/>
  <c r="K11" i="9"/>
  <c r="K12" i="9" s="1"/>
  <c r="T12" i="17"/>
  <c r="V7" i="9"/>
  <c r="V11" i="9" s="1"/>
  <c r="V12" i="9" s="1"/>
  <c r="Y7" i="9"/>
  <c r="Y11" i="9" s="1"/>
  <c r="Y12" i="9" s="1"/>
  <c r="P12" i="17"/>
  <c r="Z12" i="17"/>
  <c r="J35" i="17"/>
  <c r="W12" i="17"/>
  <c r="R12" i="17"/>
  <c r="W7" i="9"/>
  <c r="W11" i="9" s="1"/>
  <c r="W12" i="9" s="1"/>
  <c r="AC7" i="9"/>
  <c r="AC11" i="9" s="1"/>
  <c r="AC12" i="9" s="1"/>
  <c r="AB12" i="9"/>
  <c r="AD12" i="9"/>
  <c r="T7" i="9"/>
  <c r="T11" i="9" s="1"/>
  <c r="T12" i="9" s="1"/>
  <c r="O7" i="9"/>
  <c r="O11" i="9" s="1"/>
  <c r="O12" i="9" s="1"/>
  <c r="F16" i="9"/>
  <c r="F20" i="9" s="1"/>
  <c r="E22" i="9"/>
  <c r="D8" i="18" l="1"/>
  <c r="AF26" i="8"/>
  <c r="Y19" i="13"/>
  <c r="Z12" i="13"/>
  <c r="Z14" i="13" s="1"/>
  <c r="AA11" i="11"/>
  <c r="Z15" i="13" s="1"/>
  <c r="Z18" i="16"/>
  <c r="Y69" i="13"/>
  <c r="Y71" i="13" s="1"/>
  <c r="Y73" i="13" s="1"/>
  <c r="Z12" i="15"/>
  <c r="Z27" i="15"/>
  <c r="O13" i="19"/>
  <c r="AF41" i="8"/>
  <c r="AF13" i="8" s="1"/>
  <c r="N104" i="3"/>
  <c r="Z27" i="16"/>
  <c r="Z67" i="13"/>
  <c r="V17" i="15"/>
  <c r="D57" i="18" s="1"/>
  <c r="W17" i="16"/>
  <c r="W18" i="16" s="1"/>
  <c r="W19" i="16" s="1"/>
  <c r="Y19" i="16"/>
  <c r="Y28" i="16"/>
  <c r="AD12" i="17"/>
  <c r="G16" i="9"/>
  <c r="G20" i="9" s="1"/>
  <c r="F22" i="9"/>
  <c r="D12" i="8"/>
  <c r="D43" i="8"/>
  <c r="P98" i="3"/>
  <c r="P102" i="3" s="1"/>
  <c r="O104" i="3"/>
  <c r="E32" i="9"/>
  <c r="E42" i="8"/>
  <c r="D64" i="18" l="1"/>
  <c r="E57" i="18"/>
  <c r="D58" i="18"/>
  <c r="G8" i="18"/>
  <c r="J8" i="18"/>
  <c r="Z16" i="13"/>
  <c r="Z21" i="13" s="1"/>
  <c r="Z60" i="13" s="1"/>
  <c r="Z64" i="13" s="1"/>
  <c r="AA27" i="16" s="1"/>
  <c r="AA10" i="16" s="1"/>
  <c r="AF12" i="17" s="1"/>
  <c r="AA20" i="11"/>
  <c r="AA24" i="16"/>
  <c r="AA8" i="16" s="1"/>
  <c r="AF8" i="17" s="1"/>
  <c r="AA26" i="16"/>
  <c r="AF36" i="17"/>
  <c r="AF45" i="17" s="1"/>
  <c r="AF25" i="17" s="1"/>
  <c r="Z15" i="15"/>
  <c r="Z10" i="16"/>
  <c r="Z28" i="16"/>
  <c r="E12" i="8"/>
  <c r="E43" i="8"/>
  <c r="E7" i="5" s="1"/>
  <c r="E8" i="5" s="1"/>
  <c r="D13" i="17"/>
  <c r="D17" i="17" s="1"/>
  <c r="D17" i="8"/>
  <c r="D19" i="8" s="1"/>
  <c r="F42" i="8"/>
  <c r="F32" i="9"/>
  <c r="G28" i="18"/>
  <c r="Q98" i="3"/>
  <c r="Q102" i="3" s="1"/>
  <c r="P104" i="3"/>
  <c r="H16" i="9"/>
  <c r="H20" i="9" s="1"/>
  <c r="G22" i="9"/>
  <c r="D65" i="18" l="1"/>
  <c r="E65" i="18" s="1"/>
  <c r="E64" i="18"/>
  <c r="J19" i="18"/>
  <c r="K19" i="18" s="1"/>
  <c r="K8" i="18"/>
  <c r="G19" i="18"/>
  <c r="H8" i="18"/>
  <c r="Z19" i="13"/>
  <c r="Z69" i="13"/>
  <c r="Z71" i="13" s="1"/>
  <c r="Z73" i="13" s="1"/>
  <c r="Z17" i="15"/>
  <c r="AA17" i="16"/>
  <c r="AF46" i="17"/>
  <c r="AF49" i="17"/>
  <c r="AF51" i="17" s="1"/>
  <c r="AA11" i="16"/>
  <c r="AA28" i="16"/>
  <c r="Z11" i="16"/>
  <c r="AE12" i="17"/>
  <c r="F10" i="5"/>
  <c r="I16" i="9"/>
  <c r="I20" i="9" s="1"/>
  <c r="H22" i="9"/>
  <c r="G32" i="9"/>
  <c r="G42" i="8"/>
  <c r="R98" i="3"/>
  <c r="R102" i="3" s="1"/>
  <c r="Q104" i="3"/>
  <c r="H28" i="18"/>
  <c r="F12" i="8"/>
  <c r="F43" i="8"/>
  <c r="E13" i="17"/>
  <c r="E17" i="17" s="1"/>
  <c r="E17" i="8"/>
  <c r="E19" i="8" s="1"/>
  <c r="Z19" i="16" l="1"/>
  <c r="AA15" i="16"/>
  <c r="AA18" i="16" s="1"/>
  <c r="AA19" i="16" s="1"/>
  <c r="G12" i="8"/>
  <c r="G43" i="8"/>
  <c r="H42" i="8"/>
  <c r="H32" i="9"/>
  <c r="G10" i="5"/>
  <c r="I10" i="5"/>
  <c r="K10" i="5"/>
  <c r="M10" i="5"/>
  <c r="O10" i="5"/>
  <c r="Q10" i="5"/>
  <c r="S10" i="5"/>
  <c r="H10" i="5"/>
  <c r="J10" i="5"/>
  <c r="L10" i="5"/>
  <c r="N10" i="5"/>
  <c r="P10" i="5"/>
  <c r="R10" i="5"/>
  <c r="F16" i="10"/>
  <c r="F13" i="17"/>
  <c r="S98" i="3"/>
  <c r="S102" i="3" s="1"/>
  <c r="R104" i="3"/>
  <c r="J16" i="9"/>
  <c r="J20" i="9" s="1"/>
  <c r="I22" i="9"/>
  <c r="F12" i="5"/>
  <c r="R16" i="10" l="1"/>
  <c r="R41" i="17" s="1"/>
  <c r="O16" i="10"/>
  <c r="O41" i="17" s="1"/>
  <c r="G16" i="10"/>
  <c r="G41" i="17" s="1"/>
  <c r="P16" i="10"/>
  <c r="P41" i="17" s="1"/>
  <c r="H16" i="10"/>
  <c r="H19" i="10" s="1"/>
  <c r="M16" i="10"/>
  <c r="M19" i="10" s="1"/>
  <c r="N16" i="10"/>
  <c r="N41" i="17" s="1"/>
  <c r="S16" i="10"/>
  <c r="S19" i="10" s="1"/>
  <c r="K16" i="10"/>
  <c r="K41" i="17" s="1"/>
  <c r="J16" i="10"/>
  <c r="J19" i="10" s="1"/>
  <c r="L16" i="10"/>
  <c r="L19" i="10" s="1"/>
  <c r="Q16" i="10"/>
  <c r="Q41" i="17" s="1"/>
  <c r="I16" i="10"/>
  <c r="I41" i="17" s="1"/>
  <c r="I32" i="9"/>
  <c r="I42" i="8"/>
  <c r="F41" i="17"/>
  <c r="F45" i="17" s="1"/>
  <c r="F49" i="17" s="1"/>
  <c r="F51" i="17" s="1"/>
  <c r="F19" i="10"/>
  <c r="F21" i="10" s="1"/>
  <c r="G12" i="5"/>
  <c r="F15" i="8"/>
  <c r="J22" i="9"/>
  <c r="K16" i="9"/>
  <c r="K20" i="9" s="1"/>
  <c r="T98" i="3"/>
  <c r="T102" i="3" s="1"/>
  <c r="S104" i="3"/>
  <c r="N19" i="10"/>
  <c r="H12" i="8"/>
  <c r="H43" i="8"/>
  <c r="G13" i="17"/>
  <c r="K19" i="10" l="1"/>
  <c r="H41" i="17"/>
  <c r="G19" i="10"/>
  <c r="S41" i="17"/>
  <c r="M41" i="17"/>
  <c r="R19" i="10"/>
  <c r="Q19" i="10"/>
  <c r="O19" i="10"/>
  <c r="J41" i="17"/>
  <c r="P19" i="10"/>
  <c r="L41" i="17"/>
  <c r="L26" i="8"/>
  <c r="K26" i="8"/>
  <c r="N26" i="8"/>
  <c r="I19" i="10"/>
  <c r="J26" i="8"/>
  <c r="M26" i="8"/>
  <c r="H26" i="8"/>
  <c r="L16" i="9"/>
  <c r="L20" i="9" s="1"/>
  <c r="K22" i="9"/>
  <c r="F15" i="17"/>
  <c r="F17" i="17" s="1"/>
  <c r="F17" i="8"/>
  <c r="F19" i="8" s="1"/>
  <c r="G25" i="8" s="1"/>
  <c r="I12" i="8"/>
  <c r="I43" i="8"/>
  <c r="Q26" i="8"/>
  <c r="H13" i="17"/>
  <c r="O26" i="8"/>
  <c r="S22" i="10"/>
  <c r="S26" i="8"/>
  <c r="U98" i="3"/>
  <c r="U102" i="3" s="1"/>
  <c r="T104" i="3"/>
  <c r="J32" i="9"/>
  <c r="J42" i="8"/>
  <c r="H12" i="5"/>
  <c r="G15" i="8"/>
  <c r="Q22" i="10" l="1"/>
  <c r="G26" i="8"/>
  <c r="O22" i="10"/>
  <c r="R26" i="8"/>
  <c r="R22" i="10"/>
  <c r="P22" i="10"/>
  <c r="P26" i="8"/>
  <c r="I26" i="8"/>
  <c r="I12" i="5"/>
  <c r="H15" i="8"/>
  <c r="V98" i="3"/>
  <c r="V102" i="3" s="1"/>
  <c r="U104" i="3"/>
  <c r="K42" i="8"/>
  <c r="K32" i="9"/>
  <c r="G15" i="17"/>
  <c r="G17" i="17" s="1"/>
  <c r="G17" i="8"/>
  <c r="J12" i="8"/>
  <c r="J43" i="8"/>
  <c r="I13" i="17"/>
  <c r="G24" i="17"/>
  <c r="M16" i="9"/>
  <c r="M20" i="9" s="1"/>
  <c r="L22" i="9"/>
  <c r="G36" i="36" l="1"/>
  <c r="G39" i="36" s="1"/>
  <c r="G44" i="36" s="1"/>
  <c r="G43" i="36"/>
  <c r="L32" i="9"/>
  <c r="L42" i="8"/>
  <c r="H15" i="17"/>
  <c r="H17" i="17" s="1"/>
  <c r="H17" i="8"/>
  <c r="N16" i="9"/>
  <c r="N20" i="9" s="1"/>
  <c r="M22" i="9"/>
  <c r="J13" i="17"/>
  <c r="K12" i="8"/>
  <c r="K43" i="8"/>
  <c r="W98" i="3"/>
  <c r="W102" i="3" s="1"/>
  <c r="V104" i="3"/>
  <c r="J12" i="5"/>
  <c r="I15" i="8"/>
  <c r="G41" i="36" l="1"/>
  <c r="G20" i="10" s="1"/>
  <c r="G27" i="8" s="1"/>
  <c r="H36" i="36"/>
  <c r="H39" i="36" s="1"/>
  <c r="H44" i="36" s="1"/>
  <c r="H43" i="36"/>
  <c r="G18" i="8"/>
  <c r="G18" i="17" s="1"/>
  <c r="G19" i="17" s="1"/>
  <c r="H24" i="17" s="1"/>
  <c r="G46" i="36"/>
  <c r="G44" i="17"/>
  <c r="G45" i="17" s="1"/>
  <c r="J15" i="8"/>
  <c r="K12" i="5"/>
  <c r="X98" i="3"/>
  <c r="X102" i="3" s="1"/>
  <c r="W104" i="3"/>
  <c r="K13" i="17"/>
  <c r="M32" i="9"/>
  <c r="M42" i="8"/>
  <c r="L12" i="8"/>
  <c r="L43" i="8"/>
  <c r="I15" i="17"/>
  <c r="I17" i="17" s="1"/>
  <c r="I17" i="8"/>
  <c r="O16" i="9"/>
  <c r="O20" i="9" s="1"/>
  <c r="N22" i="9"/>
  <c r="H41" i="36" l="1"/>
  <c r="H20" i="10" s="1"/>
  <c r="H27" i="8" s="1"/>
  <c r="H26" i="17" s="1"/>
  <c r="H18" i="8"/>
  <c r="H18" i="17" s="1"/>
  <c r="H19" i="17" s="1"/>
  <c r="I24" i="17" s="1"/>
  <c r="H44" i="17"/>
  <c r="H45" i="17" s="1"/>
  <c r="I36" i="36"/>
  <c r="I39" i="36" s="1"/>
  <c r="I44" i="36" s="1"/>
  <c r="I43" i="36"/>
  <c r="G49" i="17"/>
  <c r="G51" i="17" s="1"/>
  <c r="G54" i="17" s="1"/>
  <c r="G25" i="17"/>
  <c r="H46" i="36"/>
  <c r="G26" i="17"/>
  <c r="G29" i="8"/>
  <c r="G19" i="8"/>
  <c r="H25" i="8" s="1"/>
  <c r="P16" i="9"/>
  <c r="P20" i="9" s="1"/>
  <c r="O22" i="9"/>
  <c r="L13" i="17"/>
  <c r="M12" i="8"/>
  <c r="M43" i="8"/>
  <c r="N32" i="9"/>
  <c r="N42" i="8"/>
  <c r="L12" i="5"/>
  <c r="K15" i="8"/>
  <c r="Y98" i="3"/>
  <c r="Y102" i="3" s="1"/>
  <c r="X104" i="3"/>
  <c r="J15" i="17"/>
  <c r="J17" i="17" s="1"/>
  <c r="J17" i="8"/>
  <c r="I18" i="8" l="1"/>
  <c r="I18" i="17" s="1"/>
  <c r="I19" i="17" s="1"/>
  <c r="J24" i="17" s="1"/>
  <c r="G30" i="8"/>
  <c r="G28" i="17"/>
  <c r="G29" i="17" s="1"/>
  <c r="G47" i="36"/>
  <c r="J36" i="36"/>
  <c r="J39" i="36" s="1"/>
  <c r="J44" i="36" s="1"/>
  <c r="J43" i="36"/>
  <c r="I41" i="36"/>
  <c r="I20" i="10" s="1"/>
  <c r="I46" i="36"/>
  <c r="H25" i="17"/>
  <c r="H28" i="17" s="1"/>
  <c r="H29" i="17" s="1"/>
  <c r="H49" i="17"/>
  <c r="H51" i="17" s="1"/>
  <c r="H54" i="17" s="1"/>
  <c r="H21" i="10"/>
  <c r="H29" i="8"/>
  <c r="G21" i="10"/>
  <c r="H19" i="8"/>
  <c r="Z98" i="3"/>
  <c r="Z102" i="3" s="1"/>
  <c r="Y104" i="3"/>
  <c r="K15" i="17"/>
  <c r="K17" i="17" s="1"/>
  <c r="K17" i="8"/>
  <c r="L15" i="8"/>
  <c r="M12" i="5"/>
  <c r="O42" i="8"/>
  <c r="O32" i="9"/>
  <c r="N12" i="8"/>
  <c r="N43" i="8"/>
  <c r="M13" i="17"/>
  <c r="Q16" i="9"/>
  <c r="Q20" i="9" s="1"/>
  <c r="P22" i="9"/>
  <c r="H30" i="8" l="1"/>
  <c r="J41" i="36"/>
  <c r="J20" i="10" s="1"/>
  <c r="J44" i="17" s="1"/>
  <c r="J45" i="17" s="1"/>
  <c r="I27" i="8"/>
  <c r="I26" i="17" s="1"/>
  <c r="I44" i="17"/>
  <c r="I45" i="17" s="1"/>
  <c r="J46" i="36"/>
  <c r="K36" i="36"/>
  <c r="K39" i="36" s="1"/>
  <c r="K44" i="36" s="1"/>
  <c r="K43" i="36"/>
  <c r="I25" i="8"/>
  <c r="I29" i="8" s="1"/>
  <c r="H47" i="36"/>
  <c r="J27" i="8"/>
  <c r="J26" i="17" s="1"/>
  <c r="J18" i="8"/>
  <c r="J18" i="17" s="1"/>
  <c r="J19" i="17" s="1"/>
  <c r="I21" i="10"/>
  <c r="I19" i="8"/>
  <c r="L15" i="17"/>
  <c r="L17" i="17" s="1"/>
  <c r="L17" i="8"/>
  <c r="AA98" i="3"/>
  <c r="AA102" i="3" s="1"/>
  <c r="Z104" i="3"/>
  <c r="P42" i="8"/>
  <c r="P32" i="9"/>
  <c r="N13" i="17"/>
  <c r="O12" i="8"/>
  <c r="O43" i="8"/>
  <c r="N12" i="5"/>
  <c r="M15" i="8"/>
  <c r="R16" i="9"/>
  <c r="R20" i="9" s="1"/>
  <c r="Q22" i="9"/>
  <c r="K18" i="8" l="1"/>
  <c r="K18" i="17" s="1"/>
  <c r="K19" i="17" s="1"/>
  <c r="K46" i="36"/>
  <c r="K41" i="36"/>
  <c r="K20" i="10" s="1"/>
  <c r="K44" i="17" s="1"/>
  <c r="K45" i="17" s="1"/>
  <c r="I30" i="8"/>
  <c r="L24" i="17"/>
  <c r="K24" i="17"/>
  <c r="I47" i="36"/>
  <c r="J25" i="8"/>
  <c r="J29" i="8" s="1"/>
  <c r="K27" i="8"/>
  <c r="K26" i="17" s="1"/>
  <c r="J49" i="17"/>
  <c r="J51" i="17" s="1"/>
  <c r="J54" i="17" s="1"/>
  <c r="J25" i="17"/>
  <c r="J28" i="17" s="1"/>
  <c r="J29" i="17" s="1"/>
  <c r="I49" i="17"/>
  <c r="I51" i="17" s="1"/>
  <c r="I54" i="17" s="1"/>
  <c r="I25" i="17"/>
  <c r="I28" i="17" s="1"/>
  <c r="I29" i="17" s="1"/>
  <c r="L36" i="36"/>
  <c r="L39" i="36" s="1"/>
  <c r="L44" i="36" s="1"/>
  <c r="L43" i="36"/>
  <c r="J21" i="10"/>
  <c r="J19" i="8"/>
  <c r="O12" i="5"/>
  <c r="N15" i="8"/>
  <c r="O13" i="17"/>
  <c r="AB98" i="3"/>
  <c r="AB102" i="3" s="1"/>
  <c r="AA104" i="3"/>
  <c r="S16" i="9"/>
  <c r="S20" i="9" s="1"/>
  <c r="R22" i="9"/>
  <c r="M15" i="17"/>
  <c r="M17" i="17" s="1"/>
  <c r="M17" i="8"/>
  <c r="Q42" i="8"/>
  <c r="Q32" i="9"/>
  <c r="P12" i="8"/>
  <c r="P43" i="8"/>
  <c r="L41" i="36" l="1"/>
  <c r="L20" i="10" s="1"/>
  <c r="L18" i="8"/>
  <c r="L18" i="17" s="1"/>
  <c r="L19" i="17" s="1"/>
  <c r="L46" i="36"/>
  <c r="M24" i="17"/>
  <c r="J30" i="8"/>
  <c r="M36" i="36"/>
  <c r="M39" i="36" s="1"/>
  <c r="M44" i="36" s="1"/>
  <c r="M43" i="36"/>
  <c r="L27" i="8"/>
  <c r="L26" i="17" s="1"/>
  <c r="L44" i="17"/>
  <c r="L45" i="17" s="1"/>
  <c r="J47" i="36"/>
  <c r="K25" i="8"/>
  <c r="K29" i="8" s="1"/>
  <c r="K25" i="17"/>
  <c r="K28" i="17" s="1"/>
  <c r="K29" i="17" s="1"/>
  <c r="K49" i="17"/>
  <c r="K51" i="17" s="1"/>
  <c r="K54" i="17" s="1"/>
  <c r="K21" i="10"/>
  <c r="K19" i="8"/>
  <c r="T16" i="9"/>
  <c r="T20" i="9" s="1"/>
  <c r="S22" i="9"/>
  <c r="AC98" i="3"/>
  <c r="AC102" i="3" s="1"/>
  <c r="AB104" i="3"/>
  <c r="P12" i="5"/>
  <c r="O15" i="8"/>
  <c r="P13" i="17"/>
  <c r="Q12" i="8"/>
  <c r="Q43" i="8"/>
  <c r="R32" i="9"/>
  <c r="R42" i="8"/>
  <c r="N15" i="17"/>
  <c r="N17" i="17" s="1"/>
  <c r="N17" i="8"/>
  <c r="M41" i="36" l="1"/>
  <c r="M20" i="10" s="1"/>
  <c r="K30" i="8"/>
  <c r="L25" i="8"/>
  <c r="K47" i="36"/>
  <c r="M27" i="8"/>
  <c r="M26" i="17" s="1"/>
  <c r="M44" i="17"/>
  <c r="M45" i="17" s="1"/>
  <c r="L25" i="17"/>
  <c r="L28" i="17" s="1"/>
  <c r="L29" i="17" s="1"/>
  <c r="L49" i="17"/>
  <c r="L51" i="17" s="1"/>
  <c r="L54" i="17" s="1"/>
  <c r="M18" i="8"/>
  <c r="M18" i="17" s="1"/>
  <c r="M19" i="17" s="1"/>
  <c r="M46" i="36"/>
  <c r="N43" i="36"/>
  <c r="N36" i="36"/>
  <c r="N39" i="36" s="1"/>
  <c r="L21" i="10"/>
  <c r="L29" i="8"/>
  <c r="L19" i="8"/>
  <c r="Q13" i="17"/>
  <c r="U16" i="9"/>
  <c r="U20" i="9" s="1"/>
  <c r="T22" i="9"/>
  <c r="O15" i="17"/>
  <c r="O17" i="17" s="1"/>
  <c r="O17" i="8"/>
  <c r="AD98" i="3"/>
  <c r="AD102" i="3" s="1"/>
  <c r="AC104" i="3"/>
  <c r="S42" i="8"/>
  <c r="S32" i="9"/>
  <c r="R12" i="8"/>
  <c r="R43" i="8"/>
  <c r="P15" i="8"/>
  <c r="Q12" i="5"/>
  <c r="L30" i="8" l="1"/>
  <c r="N24" i="17"/>
  <c r="M25" i="8"/>
  <c r="L47" i="36"/>
  <c r="M49" i="17"/>
  <c r="M51" i="17" s="1"/>
  <c r="M54" i="17" s="1"/>
  <c r="M25" i="17"/>
  <c r="M28" i="17" s="1"/>
  <c r="M29" i="17" s="1"/>
  <c r="N18" i="8"/>
  <c r="N18" i="17" s="1"/>
  <c r="N19" i="17" s="1"/>
  <c r="N41" i="36"/>
  <c r="N20" i="10" s="1"/>
  <c r="N44" i="36"/>
  <c r="O21" i="8"/>
  <c r="O36" i="36"/>
  <c r="N46" i="36"/>
  <c r="M21" i="10"/>
  <c r="M29" i="8"/>
  <c r="M30" i="8" s="1"/>
  <c r="M19" i="8"/>
  <c r="N19" i="8"/>
  <c r="AD104" i="3"/>
  <c r="AE98" i="3"/>
  <c r="AE102" i="3" s="1"/>
  <c r="AE104" i="3" s="1"/>
  <c r="Q15" i="8"/>
  <c r="R12" i="5"/>
  <c r="S12" i="8"/>
  <c r="S43" i="8"/>
  <c r="V16" i="9"/>
  <c r="V20" i="9" s="1"/>
  <c r="U22" i="9"/>
  <c r="P15" i="17"/>
  <c r="P17" i="17" s="1"/>
  <c r="P17" i="8"/>
  <c r="R13" i="17"/>
  <c r="T32" i="9"/>
  <c r="T42" i="8"/>
  <c r="N47" i="36" l="1"/>
  <c r="O25" i="8"/>
  <c r="N27" i="8"/>
  <c r="N26" i="17" s="1"/>
  <c r="N44" i="17"/>
  <c r="N45" i="17" s="1"/>
  <c r="M47" i="36"/>
  <c r="N25" i="8"/>
  <c r="O24" i="17"/>
  <c r="P43" i="36"/>
  <c r="P36" i="36"/>
  <c r="P39" i="36" s="1"/>
  <c r="O43" i="36"/>
  <c r="O39" i="36"/>
  <c r="T12" i="8"/>
  <c r="T43" i="8"/>
  <c r="U42" i="8"/>
  <c r="U32" i="9"/>
  <c r="S12" i="5"/>
  <c r="R15" i="8"/>
  <c r="P21" i="8"/>
  <c r="V22" i="9"/>
  <c r="W16" i="9"/>
  <c r="W20" i="9" s="1"/>
  <c r="S13" i="17"/>
  <c r="Q15" i="17"/>
  <c r="Q17" i="17" s="1"/>
  <c r="Q17" i="8"/>
  <c r="N49" i="17" l="1"/>
  <c r="N51" i="17" s="1"/>
  <c r="N54" i="17" s="1"/>
  <c r="N25" i="17"/>
  <c r="N28" i="17" s="1"/>
  <c r="N29" i="17" s="1"/>
  <c r="P44" i="36"/>
  <c r="P18" i="8"/>
  <c r="P18" i="17" s="1"/>
  <c r="P19" i="17" s="1"/>
  <c r="P41" i="36"/>
  <c r="P20" i="10" s="1"/>
  <c r="Q43" i="36"/>
  <c r="Q36" i="36"/>
  <c r="Q39" i="36" s="1"/>
  <c r="O18" i="8"/>
  <c r="O18" i="17" s="1"/>
  <c r="O19" i="17" s="1"/>
  <c r="O41" i="36"/>
  <c r="O20" i="10" s="1"/>
  <c r="O44" i="36"/>
  <c r="O46" i="36" s="1"/>
  <c r="P46" i="36"/>
  <c r="N21" i="10"/>
  <c r="N29" i="8"/>
  <c r="N30" i="8" s="1"/>
  <c r="S15" i="8"/>
  <c r="X16" i="9"/>
  <c r="X20" i="9" s="1"/>
  <c r="W22" i="9"/>
  <c r="R15" i="17"/>
  <c r="R17" i="17" s="1"/>
  <c r="R17" i="8"/>
  <c r="U12" i="8"/>
  <c r="U43" i="8"/>
  <c r="Q21" i="8"/>
  <c r="V32" i="9"/>
  <c r="V42" i="8"/>
  <c r="T13" i="17"/>
  <c r="T17" i="17" s="1"/>
  <c r="T17" i="8"/>
  <c r="O27" i="8" l="1"/>
  <c r="O26" i="17" s="1"/>
  <c r="O44" i="17"/>
  <c r="O45" i="17" s="1"/>
  <c r="P27" i="8"/>
  <c r="P26" i="17" s="1"/>
  <c r="P44" i="17"/>
  <c r="P45" i="17" s="1"/>
  <c r="P24" i="17"/>
  <c r="Q24" i="17"/>
  <c r="T43" i="36"/>
  <c r="T36" i="36"/>
  <c r="T39" i="36" s="1"/>
  <c r="R43" i="36"/>
  <c r="R36" i="36"/>
  <c r="R39" i="36" s="1"/>
  <c r="Q44" i="36"/>
  <c r="Q46" i="36" s="1"/>
  <c r="Q18" i="8"/>
  <c r="Q18" i="17" s="1"/>
  <c r="Q19" i="17" s="1"/>
  <c r="Q41" i="36"/>
  <c r="Q20" i="10" s="1"/>
  <c r="O21" i="10"/>
  <c r="O23" i="10" s="1"/>
  <c r="O29" i="8"/>
  <c r="O19" i="8"/>
  <c r="S15" i="17"/>
  <c r="S17" i="17" s="1"/>
  <c r="S17" i="8"/>
  <c r="T20" i="17"/>
  <c r="V12" i="8"/>
  <c r="V43" i="8"/>
  <c r="U13" i="17"/>
  <c r="U17" i="17" s="1"/>
  <c r="U17" i="8"/>
  <c r="R20" i="17"/>
  <c r="Y16" i="9"/>
  <c r="Y20" i="9" s="1"/>
  <c r="X22" i="9"/>
  <c r="T21" i="8"/>
  <c r="R21" i="8"/>
  <c r="W42" i="8"/>
  <c r="W32" i="9"/>
  <c r="O30" i="8" l="1"/>
  <c r="O22" i="8"/>
  <c r="P25" i="8"/>
  <c r="O47" i="36"/>
  <c r="R24" i="17"/>
  <c r="O49" i="17"/>
  <c r="O51" i="17" s="1"/>
  <c r="O54" i="17" s="1"/>
  <c r="O25" i="17"/>
  <c r="O28" i="17" s="1"/>
  <c r="O29" i="17" s="1"/>
  <c r="Q27" i="8"/>
  <c r="Q26" i="17" s="1"/>
  <c r="Q44" i="17"/>
  <c r="Q45" i="17" s="1"/>
  <c r="P25" i="17"/>
  <c r="P28" i="17" s="1"/>
  <c r="P29" i="17" s="1"/>
  <c r="P49" i="17"/>
  <c r="P51" i="17" s="1"/>
  <c r="P54" i="17" s="1"/>
  <c r="S20" i="17"/>
  <c r="U43" i="36"/>
  <c r="U36" i="36"/>
  <c r="U39" i="36" s="1"/>
  <c r="U41" i="36" s="1"/>
  <c r="U20" i="10" s="1"/>
  <c r="T44" i="36"/>
  <c r="T46" i="36" s="1"/>
  <c r="T18" i="8"/>
  <c r="T18" i="17" s="1"/>
  <c r="T19" i="17" s="1"/>
  <c r="S43" i="36"/>
  <c r="S36" i="36"/>
  <c r="S39" i="36" s="1"/>
  <c r="T41" i="36" s="1"/>
  <c r="T20" i="10" s="1"/>
  <c r="R18" i="8"/>
  <c r="R18" i="17" s="1"/>
  <c r="R19" i="17" s="1"/>
  <c r="R44" i="36"/>
  <c r="R46" i="36" s="1"/>
  <c r="R41" i="36"/>
  <c r="R20" i="10" s="1"/>
  <c r="P21" i="10"/>
  <c r="P23" i="10" s="1"/>
  <c r="P29" i="8"/>
  <c r="P19" i="8"/>
  <c r="S21" i="8"/>
  <c r="W12" i="8"/>
  <c r="W43" i="8"/>
  <c r="X32" i="9"/>
  <c r="X42" i="8"/>
  <c r="U20" i="17"/>
  <c r="V13" i="17"/>
  <c r="V17" i="17" s="1"/>
  <c r="V17" i="8"/>
  <c r="Z16" i="9"/>
  <c r="Z20" i="9" s="1"/>
  <c r="Y22" i="9"/>
  <c r="U21" i="8"/>
  <c r="P30" i="8" l="1"/>
  <c r="R21" i="17"/>
  <c r="S24" i="17"/>
  <c r="Q49" i="17"/>
  <c r="Q51" i="17" s="1"/>
  <c r="Q54" i="17" s="1"/>
  <c r="Q25" i="17"/>
  <c r="Q28" i="17" s="1"/>
  <c r="Q29" i="17" s="1"/>
  <c r="T27" i="8"/>
  <c r="T26" i="17" s="1"/>
  <c r="T44" i="17"/>
  <c r="T45" i="17" s="1"/>
  <c r="U27" i="8"/>
  <c r="U26" i="17" s="1"/>
  <c r="U44" i="17"/>
  <c r="U45" i="17" s="1"/>
  <c r="P22" i="8"/>
  <c r="Q25" i="8"/>
  <c r="P47" i="36"/>
  <c r="R27" i="8"/>
  <c r="R26" i="17" s="1"/>
  <c r="R44" i="17"/>
  <c r="R45" i="17" s="1"/>
  <c r="T21" i="17"/>
  <c r="U24" i="17"/>
  <c r="U44" i="36"/>
  <c r="U18" i="8"/>
  <c r="U18" i="17" s="1"/>
  <c r="U19" i="17" s="1"/>
  <c r="V43" i="36"/>
  <c r="V36" i="36"/>
  <c r="V39" i="36" s="1"/>
  <c r="U46" i="36"/>
  <c r="S44" i="36"/>
  <c r="S46" i="36" s="1"/>
  <c r="S18" i="8"/>
  <c r="S18" i="17" s="1"/>
  <c r="S19" i="17" s="1"/>
  <c r="S41" i="36"/>
  <c r="S20" i="10" s="1"/>
  <c r="Q21" i="10"/>
  <c r="Q23" i="10" s="1"/>
  <c r="Q29" i="8"/>
  <c r="Q19" i="8"/>
  <c r="Y42" i="8"/>
  <c r="Y32" i="9"/>
  <c r="V20" i="17"/>
  <c r="X12" i="8"/>
  <c r="X43" i="8"/>
  <c r="Z22" i="9"/>
  <c r="AA16" i="9"/>
  <c r="AA20" i="9" s="1"/>
  <c r="V21" i="8"/>
  <c r="W13" i="17"/>
  <c r="W17" i="17" s="1"/>
  <c r="W17" i="8"/>
  <c r="Q30" i="8" l="1"/>
  <c r="Q22" i="8"/>
  <c r="Q47" i="36"/>
  <c r="R25" i="8"/>
  <c r="R29" i="8" s="1"/>
  <c r="S21" i="17"/>
  <c r="R25" i="17"/>
  <c r="R28" i="17" s="1"/>
  <c r="R29" i="17" s="1"/>
  <c r="R49" i="17"/>
  <c r="R51" i="17" s="1"/>
  <c r="R54" i="17" s="1"/>
  <c r="R46" i="17"/>
  <c r="U21" i="17"/>
  <c r="V24" i="17"/>
  <c r="U46" i="17"/>
  <c r="U25" i="17"/>
  <c r="U28" i="17" s="1"/>
  <c r="U29" i="17" s="1"/>
  <c r="U49" i="17"/>
  <c r="U51" i="17" s="1"/>
  <c r="U54" i="17" s="1"/>
  <c r="S27" i="8"/>
  <c r="S26" i="17" s="1"/>
  <c r="S44" i="17"/>
  <c r="S45" i="17" s="1"/>
  <c r="T24" i="17"/>
  <c r="T25" i="17"/>
  <c r="T49" i="17"/>
  <c r="T51" i="17" s="1"/>
  <c r="T54" i="17" s="1"/>
  <c r="T46" i="17"/>
  <c r="W43" i="36"/>
  <c r="W36" i="36"/>
  <c r="W39" i="36" s="1"/>
  <c r="V41" i="36"/>
  <c r="V20" i="10" s="1"/>
  <c r="V18" i="8"/>
  <c r="V18" i="17" s="1"/>
  <c r="V19" i="17" s="1"/>
  <c r="V44" i="36"/>
  <c r="V46" i="36" s="1"/>
  <c r="R21" i="10"/>
  <c r="R23" i="10" s="1"/>
  <c r="T21" i="10"/>
  <c r="T23" i="10" s="1"/>
  <c r="T19" i="8"/>
  <c r="R19" i="8"/>
  <c r="Z42" i="8"/>
  <c r="Z32" i="9"/>
  <c r="W21" i="8"/>
  <c r="X13" i="17"/>
  <c r="X17" i="8"/>
  <c r="W20" i="17"/>
  <c r="AA22" i="9"/>
  <c r="AB16" i="9"/>
  <c r="AB20" i="9" s="1"/>
  <c r="Y12" i="8"/>
  <c r="Y43" i="8"/>
  <c r="V21" i="17" l="1"/>
  <c r="W24" i="17"/>
  <c r="R22" i="8"/>
  <c r="R47" i="36"/>
  <c r="S25" i="8"/>
  <c r="R30" i="8"/>
  <c r="V27" i="8"/>
  <c r="V26" i="17" s="1"/>
  <c r="V44" i="17"/>
  <c r="V45" i="17" s="1"/>
  <c r="T22" i="8"/>
  <c r="U25" i="8"/>
  <c r="T47" i="36"/>
  <c r="T28" i="17"/>
  <c r="T29" i="17" s="1"/>
  <c r="S49" i="17"/>
  <c r="S51" i="17" s="1"/>
  <c r="S54" i="17" s="1"/>
  <c r="S25" i="17"/>
  <c r="S28" i="17" s="1"/>
  <c r="S29" i="17" s="1"/>
  <c r="S46" i="17"/>
  <c r="X43" i="36"/>
  <c r="X36" i="36"/>
  <c r="X39" i="36" s="1"/>
  <c r="X41" i="36" s="1"/>
  <c r="W18" i="8"/>
  <c r="W18" i="17" s="1"/>
  <c r="W19" i="17" s="1"/>
  <c r="W44" i="36"/>
  <c r="W46" i="36" s="1"/>
  <c r="W41" i="36"/>
  <c r="W20" i="10" s="1"/>
  <c r="U21" i="10"/>
  <c r="U23" i="10" s="1"/>
  <c r="U29" i="8"/>
  <c r="S21" i="10"/>
  <c r="S23" i="10" s="1"/>
  <c r="S29" i="8"/>
  <c r="U19" i="8"/>
  <c r="S19" i="8"/>
  <c r="AA32" i="9"/>
  <c r="AA42" i="8"/>
  <c r="X21" i="8"/>
  <c r="Y13" i="17"/>
  <c r="Y17" i="8"/>
  <c r="AB22" i="9"/>
  <c r="AC16" i="9"/>
  <c r="AC20" i="9" s="1"/>
  <c r="X17" i="17"/>
  <c r="Z12" i="8"/>
  <c r="Z43" i="8"/>
  <c r="U30" i="8" l="1"/>
  <c r="S22" i="8"/>
  <c r="T25" i="8"/>
  <c r="T29" i="8" s="1"/>
  <c r="T30" i="8" s="1"/>
  <c r="S47" i="36"/>
  <c r="W21" i="17"/>
  <c r="X24" i="17"/>
  <c r="U22" i="8"/>
  <c r="U47" i="36"/>
  <c r="V25" i="8"/>
  <c r="V29" i="8" s="1"/>
  <c r="S30" i="8"/>
  <c r="W27" i="8"/>
  <c r="W26" i="17" s="1"/>
  <c r="W44" i="17"/>
  <c r="W45" i="17" s="1"/>
  <c r="V25" i="17"/>
  <c r="V28" i="17" s="1"/>
  <c r="V29" i="17" s="1"/>
  <c r="V49" i="17"/>
  <c r="V51" i="17" s="1"/>
  <c r="V54" i="17" s="1"/>
  <c r="V46" i="17"/>
  <c r="X44" i="36"/>
  <c r="X46" i="36" s="1"/>
  <c r="X18" i="8"/>
  <c r="X18" i="17" s="1"/>
  <c r="X19" i="17" s="1"/>
  <c r="X20" i="10"/>
  <c r="Y43" i="36"/>
  <c r="Y36" i="36"/>
  <c r="Y39" i="36" s="1"/>
  <c r="V21" i="10"/>
  <c r="V23" i="10" s="1"/>
  <c r="V19" i="8"/>
  <c r="X20" i="17"/>
  <c r="Y21" i="8"/>
  <c r="AA43" i="8"/>
  <c r="AA12" i="8"/>
  <c r="AC22" i="9"/>
  <c r="AD16" i="9"/>
  <c r="AD20" i="9" s="1"/>
  <c r="Z13" i="17"/>
  <c r="Z17" i="8"/>
  <c r="AB32" i="9"/>
  <c r="AB42" i="8"/>
  <c r="Y17" i="17"/>
  <c r="X21" i="17" l="1"/>
  <c r="Y24" i="17"/>
  <c r="V30" i="8"/>
  <c r="X27" i="8"/>
  <c r="X26" i="17" s="1"/>
  <c r="X44" i="17"/>
  <c r="X45" i="17" s="1"/>
  <c r="W25" i="17"/>
  <c r="W28" i="17" s="1"/>
  <c r="W29" i="17" s="1"/>
  <c r="W49" i="17"/>
  <c r="W51" i="17" s="1"/>
  <c r="W54" i="17" s="1"/>
  <c r="W46" i="17"/>
  <c r="V22" i="8"/>
  <c r="V47" i="36"/>
  <c r="W25" i="8"/>
  <c r="W29" i="8" s="1"/>
  <c r="Z43" i="36"/>
  <c r="Z36" i="36"/>
  <c r="Z39" i="36" s="1"/>
  <c r="Y18" i="8"/>
  <c r="Y18" i="17" s="1"/>
  <c r="Y19" i="17" s="1"/>
  <c r="Y44" i="36"/>
  <c r="Y46" i="36" s="1"/>
  <c r="Y41" i="36"/>
  <c r="Y20" i="10" s="1"/>
  <c r="W21" i="10"/>
  <c r="W23" i="10" s="1"/>
  <c r="W19" i="8"/>
  <c r="Z17" i="17"/>
  <c r="Z21" i="8"/>
  <c r="AD22" i="9"/>
  <c r="AE16" i="9"/>
  <c r="AE20" i="9" s="1"/>
  <c r="Y20" i="17"/>
  <c r="AB43" i="8"/>
  <c r="AB12" i="8"/>
  <c r="AA17" i="8"/>
  <c r="AA13" i="17"/>
  <c r="E29" i="18" s="1"/>
  <c r="AC32" i="9"/>
  <c r="AC42" i="8"/>
  <c r="W30" i="8" l="1"/>
  <c r="Y21" i="17"/>
  <c r="Z24" i="17"/>
  <c r="Y27" i="8"/>
  <c r="Y26" i="17" s="1"/>
  <c r="Y44" i="17"/>
  <c r="Y45" i="17" s="1"/>
  <c r="W22" i="8"/>
  <c r="X25" i="8"/>
  <c r="X29" i="8" s="1"/>
  <c r="W47" i="36"/>
  <c r="X25" i="17"/>
  <c r="X28" i="17" s="1"/>
  <c r="X29" i="17" s="1"/>
  <c r="X49" i="17"/>
  <c r="X51" i="17" s="1"/>
  <c r="X54" i="17" s="1"/>
  <c r="X46" i="17"/>
  <c r="Z20" i="17"/>
  <c r="AA43" i="36"/>
  <c r="AA36" i="36"/>
  <c r="AA39" i="36" s="1"/>
  <c r="Z18" i="8"/>
  <c r="Z18" i="17" s="1"/>
  <c r="Z19" i="17" s="1"/>
  <c r="Z44" i="36"/>
  <c r="Z46" i="36" s="1"/>
  <c r="Z41" i="36"/>
  <c r="Z20" i="10" s="1"/>
  <c r="X21" i="10"/>
  <c r="X23" i="10" s="1"/>
  <c r="X19" i="8"/>
  <c r="AD32" i="9"/>
  <c r="AE22" i="9"/>
  <c r="AF16" i="9"/>
  <c r="AF20" i="9" s="1"/>
  <c r="AF22" i="9" s="1"/>
  <c r="AA21" i="8"/>
  <c r="AA17" i="17"/>
  <c r="AD42" i="8"/>
  <c r="AD43" i="8" s="1"/>
  <c r="AC43" i="8"/>
  <c r="AC12" i="8"/>
  <c r="AB17" i="8"/>
  <c r="AB13" i="17"/>
  <c r="X30" i="8" l="1"/>
  <c r="Z27" i="8"/>
  <c r="Z26" i="17" s="1"/>
  <c r="Z44" i="17"/>
  <c r="Z45" i="17" s="1"/>
  <c r="X22" i="8"/>
  <c r="Y25" i="8"/>
  <c r="X47" i="36"/>
  <c r="Y49" i="17"/>
  <c r="Y51" i="17" s="1"/>
  <c r="Y54" i="17" s="1"/>
  <c r="Y25" i="17"/>
  <c r="Y28" i="17" s="1"/>
  <c r="Y29" i="17" s="1"/>
  <c r="Y46" i="17"/>
  <c r="Z21" i="17"/>
  <c r="AA24" i="17"/>
  <c r="AA44" i="36"/>
  <c r="AA46" i="36" s="1"/>
  <c r="AA18" i="8"/>
  <c r="AA18" i="17" s="1"/>
  <c r="E34" i="18" s="1"/>
  <c r="E35" i="18" s="1"/>
  <c r="AA41" i="36"/>
  <c r="AA20" i="10" s="1"/>
  <c r="AB43" i="36"/>
  <c r="AB36" i="36"/>
  <c r="AB39" i="36" s="1"/>
  <c r="Y21" i="10"/>
  <c r="Y23" i="10" s="1"/>
  <c r="Y29" i="8"/>
  <c r="Y19" i="8"/>
  <c r="AE32" i="9"/>
  <c r="AB17" i="17"/>
  <c r="D29" i="18"/>
  <c r="AB21" i="8"/>
  <c r="C54" i="18" s="1"/>
  <c r="C56" i="18" s="1"/>
  <c r="E56" i="18" s="1"/>
  <c r="AF32" i="9"/>
  <c r="AF42" i="8"/>
  <c r="AE42" i="8"/>
  <c r="AE12" i="8" s="1"/>
  <c r="AA20" i="17"/>
  <c r="AD12" i="8"/>
  <c r="AD17" i="8" s="1"/>
  <c r="AC13" i="17"/>
  <c r="AC17" i="17" s="1"/>
  <c r="AC17" i="8"/>
  <c r="Y30" i="8" l="1"/>
  <c r="AA27" i="8"/>
  <c r="AA26" i="17" s="1"/>
  <c r="AA44" i="17"/>
  <c r="Z25" i="17"/>
  <c r="Z28" i="17" s="1"/>
  <c r="Z29" i="17" s="1"/>
  <c r="Z46" i="17"/>
  <c r="Z48" i="17" s="1"/>
  <c r="Z49" i="17"/>
  <c r="Z51" i="17" s="1"/>
  <c r="Z54" i="17" s="1"/>
  <c r="AD43" i="36"/>
  <c r="Y22" i="8"/>
  <c r="Y47" i="36"/>
  <c r="Z25" i="8"/>
  <c r="AA19" i="17"/>
  <c r="AC43" i="36"/>
  <c r="AC36" i="36"/>
  <c r="AC39" i="36" s="1"/>
  <c r="AC18" i="8" s="1"/>
  <c r="AC18" i="17" s="1"/>
  <c r="AC19" i="17" s="1"/>
  <c r="AD24" i="17" s="1"/>
  <c r="AB44" i="36"/>
  <c r="AB46" i="36" s="1"/>
  <c r="AB18" i="8"/>
  <c r="AB18" i="17" s="1"/>
  <c r="D34" i="18" s="1"/>
  <c r="D35" i="18" s="1"/>
  <c r="AB41" i="36"/>
  <c r="AB20" i="10" s="1"/>
  <c r="Z21" i="10"/>
  <c r="Z23" i="10" s="1"/>
  <c r="Z29" i="8"/>
  <c r="C58" i="18"/>
  <c r="E58" i="18" s="1"/>
  <c r="E54" i="18"/>
  <c r="Z19" i="8"/>
  <c r="G29" i="18"/>
  <c r="G35" i="18" s="1"/>
  <c r="H35" i="18" s="1"/>
  <c r="AB20" i="17"/>
  <c r="AC54" i="17"/>
  <c r="AF12" i="8"/>
  <c r="AF43" i="8"/>
  <c r="AE43" i="8"/>
  <c r="AD13" i="17"/>
  <c r="AD17" i="17" s="1"/>
  <c r="AE17" i="8"/>
  <c r="AE13" i="17"/>
  <c r="AE17" i="17" s="1"/>
  <c r="AC20" i="17"/>
  <c r="Z30" i="8" l="1"/>
  <c r="E18" i="18"/>
  <c r="E19" i="18" s="1"/>
  <c r="H19" i="18" s="1"/>
  <c r="AA45" i="17"/>
  <c r="AE36" i="36"/>
  <c r="AE39" i="36" s="1"/>
  <c r="AE18" i="8" s="1"/>
  <c r="AE18" i="17" s="1"/>
  <c r="AE19" i="17" s="1"/>
  <c r="AF24" i="17" s="1"/>
  <c r="Z22" i="8"/>
  <c r="Z47" i="36"/>
  <c r="AA25" i="8"/>
  <c r="AD36" i="36"/>
  <c r="AD39" i="36" s="1"/>
  <c r="AD18" i="8" s="1"/>
  <c r="AB19" i="17"/>
  <c r="AC19" i="8"/>
  <c r="AB27" i="8"/>
  <c r="AB26" i="17" s="1"/>
  <c r="AB44" i="17"/>
  <c r="AA21" i="17"/>
  <c r="AB24" i="17"/>
  <c r="AD20" i="17"/>
  <c r="AB21" i="17"/>
  <c r="AC24" i="17"/>
  <c r="AC44" i="36"/>
  <c r="AC46" i="36" s="1"/>
  <c r="AC41" i="36"/>
  <c r="AC20" i="10" s="1"/>
  <c r="AC44" i="17" s="1"/>
  <c r="AE43" i="36"/>
  <c r="AA21" i="10"/>
  <c r="AA23" i="10" s="1"/>
  <c r="AA29" i="8"/>
  <c r="H29" i="18"/>
  <c r="AA19" i="8"/>
  <c r="AF17" i="8"/>
  <c r="AF13" i="17"/>
  <c r="AF17" i="17" s="1"/>
  <c r="AE20" i="17"/>
  <c r="AD54" i="17"/>
  <c r="AE54" i="17"/>
  <c r="AA30" i="8" l="1"/>
  <c r="AD41" i="36"/>
  <c r="AD20" i="10" s="1"/>
  <c r="AD44" i="17" s="1"/>
  <c r="AC47" i="36"/>
  <c r="AD25" i="8"/>
  <c r="AA49" i="17"/>
  <c r="AA51" i="17" s="1"/>
  <c r="AA54" i="17" s="1"/>
  <c r="AA25" i="17"/>
  <c r="AA28" i="17" s="1"/>
  <c r="AA29" i="17" s="1"/>
  <c r="AA46" i="17"/>
  <c r="AA48" i="17" s="1"/>
  <c r="D18" i="18"/>
  <c r="D19" i="18" s="1"/>
  <c r="AB45" i="17"/>
  <c r="AD18" i="17"/>
  <c r="AD19" i="17" s="1"/>
  <c r="AE24" i="17" s="1"/>
  <c r="AD19" i="8"/>
  <c r="AE19" i="8"/>
  <c r="AF36" i="36"/>
  <c r="AF39" i="36" s="1"/>
  <c r="AF18" i="8" s="1"/>
  <c r="AA22" i="8"/>
  <c r="AB25" i="8"/>
  <c r="AB29" i="8" s="1"/>
  <c r="AA47" i="36"/>
  <c r="AD44" i="36"/>
  <c r="AD46" i="36" s="1"/>
  <c r="AF20" i="17"/>
  <c r="AE44" i="36"/>
  <c r="AE46" i="36" s="1"/>
  <c r="AE41" i="36"/>
  <c r="AE20" i="10" s="1"/>
  <c r="AE44" i="17" s="1"/>
  <c r="AB21" i="10"/>
  <c r="AB23" i="10" s="1"/>
  <c r="AB19" i="8"/>
  <c r="AF54" i="17"/>
  <c r="AF43" i="36" l="1"/>
  <c r="AF18" i="17"/>
  <c r="AF19" i="17" s="1"/>
  <c r="AF19" i="8"/>
  <c r="AB30" i="8"/>
  <c r="AE47" i="36"/>
  <c r="AF25" i="8"/>
  <c r="AB22" i="8"/>
  <c r="AC25" i="8"/>
  <c r="AB47" i="36"/>
  <c r="AD47" i="36"/>
  <c r="AE25" i="8"/>
  <c r="AB46" i="17"/>
  <c r="AB48" i="17" s="1"/>
  <c r="AB25" i="17"/>
  <c r="AB28" i="17" s="1"/>
  <c r="AB29" i="17" s="1"/>
  <c r="AB49" i="17"/>
  <c r="AB51" i="17" s="1"/>
  <c r="AB54" i="17" s="1"/>
  <c r="AF44" i="36"/>
  <c r="AF41" i="36"/>
  <c r="AF20" i="10" s="1"/>
  <c r="AF44" i="17" s="1"/>
  <c r="AF46" i="36"/>
  <c r="AD21" i="10"/>
  <c r="AD23" i="10" s="1"/>
  <c r="AD27" i="8"/>
  <c r="AD26" i="17" s="1"/>
  <c r="AD28" i="17" s="1"/>
  <c r="AD29" i="17" s="1"/>
  <c r="AC21" i="10"/>
  <c r="AC23" i="10" s="1"/>
  <c r="AC27" i="8"/>
  <c r="AC26" i="17" s="1"/>
  <c r="AC28" i="17" s="1"/>
  <c r="AC29" i="17" s="1"/>
  <c r="AC29" i="8" l="1"/>
  <c r="AC30" i="8" s="1"/>
  <c r="AD29" i="8"/>
  <c r="AD30" i="8" s="1"/>
  <c r="AF47" i="36"/>
  <c r="AE21" i="10"/>
  <c r="AE23" i="10" s="1"/>
  <c r="AE27" i="8"/>
  <c r="AE26" i="17" s="1"/>
  <c r="AE28" i="17" s="1"/>
  <c r="AE29" i="17" s="1"/>
  <c r="AE29" i="8" l="1"/>
  <c r="AE30" i="8" s="1"/>
  <c r="AF21" i="10"/>
  <c r="AF23" i="10" s="1"/>
  <c r="AF27" i="8"/>
  <c r="AF26" i="17" l="1"/>
  <c r="AF28" i="17" s="1"/>
  <c r="AF29" i="17" s="1"/>
  <c r="AF29" i="8"/>
  <c r="AF30" i="8" s="1"/>
</calcChain>
</file>

<file path=xl/comments1.xml><?xml version="1.0" encoding="utf-8"?>
<comments xmlns="http://schemas.openxmlformats.org/spreadsheetml/2006/main">
  <authors>
    <author>Fong, Pauline (MOF)</author>
    <author>Fong, Pauline (FIN)</author>
  </authors>
  <commentList>
    <comment ref="AB20" authorId="0" shapeId="0">
      <text>
        <r>
          <rPr>
            <b/>
            <sz val="9"/>
            <color indexed="81"/>
            <rFont val="Tahoma"/>
            <family val="2"/>
          </rPr>
          <t>Fong, Pauline (MOF):</t>
        </r>
        <r>
          <rPr>
            <sz val="9"/>
            <color indexed="81"/>
            <rFont val="Tahoma"/>
            <family val="2"/>
          </rPr>
          <t xml:space="preserve">
Change in mortality Basis 1:             1,054
Change in com. Value Basis 1:            116
Change in disc. Rate Basis 1 to 4:     4,131
Change in infl./salary Basis 1 to 4:   </t>
        </r>
        <r>
          <rPr>
            <u/>
            <sz val="9"/>
            <color indexed="81"/>
            <rFont val="Tahoma"/>
            <family val="2"/>
          </rPr>
          <t xml:space="preserve"> (5,666)</t>
        </r>
        <r>
          <rPr>
            <sz val="9"/>
            <color indexed="81"/>
            <rFont val="Tahoma"/>
            <family val="2"/>
          </rPr>
          <t xml:space="preserve">
Total change in assumption                365</t>
        </r>
      </text>
    </comment>
    <comment ref="Z26" authorId="1" shapeId="0">
      <text>
        <r>
          <rPr>
            <b/>
            <sz val="9"/>
            <color indexed="81"/>
            <rFont val="Tahoma"/>
            <family val="2"/>
          </rPr>
          <t>Fong, Pauline (FIN):</t>
        </r>
        <r>
          <rPr>
            <sz val="9"/>
            <color indexed="81"/>
            <rFont val="Tahoma"/>
            <family val="2"/>
          </rPr>
          <t xml:space="preserve">
February 1st letter amount was $129,622.  The audited OTTP financials = $ 129,524.  Net assets available for benefits have been updated for new numbers for Public Accounts &amp; Smoothing updated accordingly.</t>
        </r>
      </text>
    </comment>
    <comment ref="AA26" authorId="0" shapeId="0">
      <text>
        <r>
          <rPr>
            <b/>
            <sz val="9"/>
            <color indexed="81"/>
            <rFont val="Tahoma"/>
            <family val="2"/>
          </rPr>
          <t>Fong, Pauline (MOF):</t>
        </r>
        <r>
          <rPr>
            <sz val="9"/>
            <color indexed="81"/>
            <rFont val="Tahoma"/>
            <family val="2"/>
          </rPr>
          <t xml:space="preserve">
Actuary Letter 140,777; final audited financial statements from OTPP is 140,764.  Numbers have been updated for final audited financial statements for OTPP as of December 31, 2013</t>
        </r>
      </text>
    </comment>
    <comment ref="AB26" authorId="0" shape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AC26" authorId="0" shape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2.xml><?xml version="1.0" encoding="utf-8"?>
<comments xmlns="http://schemas.openxmlformats.org/spreadsheetml/2006/main">
  <authors>
    <author>Fong, Pauline (MOF)</author>
    <author>Pauline Fong</author>
  </authors>
  <commentList>
    <comment ref="T15" authorId="0" shapeId="0">
      <text>
        <r>
          <rPr>
            <b/>
            <sz val="9"/>
            <color indexed="81"/>
            <rFont val="Tahoma"/>
            <family val="2"/>
          </rPr>
          <t>Fong, Pauline (MOF):</t>
        </r>
        <r>
          <rPr>
            <sz val="9"/>
            <color indexed="81"/>
            <rFont val="Tahoma"/>
            <family val="2"/>
          </rPr>
          <t xml:space="preserve">
See below:
Use $10M for PA and RbP.  Included as art of experience gains/losses.</t>
        </r>
      </text>
    </comment>
    <comment ref="Q18" authorId="1" shapeId="0">
      <text>
        <r>
          <rPr>
            <b/>
            <sz val="8"/>
            <color indexed="81"/>
            <rFont val="Tahoma"/>
            <family val="2"/>
          </rPr>
          <t>Pauline Fong:</t>
        </r>
        <r>
          <rPr>
            <sz val="8"/>
            <color indexed="81"/>
            <rFont val="Tahoma"/>
            <family val="2"/>
          </rPr>
          <t xml:space="preserve">
Needed to be booked into OG to agree liability per OG to continuity.</t>
        </r>
      </text>
    </comment>
  </commentList>
</comments>
</file>

<file path=xl/comments3.xml><?xml version="1.0" encoding="utf-8"?>
<comments xmlns="http://schemas.openxmlformats.org/spreadsheetml/2006/main">
  <authors>
    <author>Fong, Pauline (MOF)</author>
  </authors>
  <commentList>
    <comment ref="Z45" authorId="0" shapeId="0">
      <text>
        <r>
          <rPr>
            <b/>
            <sz val="9"/>
            <color indexed="81"/>
            <rFont val="Tahoma"/>
            <family val="2"/>
          </rPr>
          <t>Fong, Pauline (MOF):</t>
        </r>
        <r>
          <rPr>
            <sz val="9"/>
            <color indexed="81"/>
            <rFont val="Tahoma"/>
            <family val="2"/>
          </rPr>
          <t xml:space="preserve">
Use $885 for Budget and PA.  Include $6M as part of experience gains.
</t>
        </r>
      </text>
    </comment>
  </commentList>
</comments>
</file>

<file path=xl/comments4.xml><?xml version="1.0" encoding="utf-8"?>
<comments xmlns="http://schemas.openxmlformats.org/spreadsheetml/2006/main">
  <authors>
    <author>Fong, Pauline (MOF)</author>
  </authors>
  <commentList>
    <comment ref="D57" authorId="0" shapeId="0">
      <text>
        <r>
          <rPr>
            <b/>
            <sz val="9"/>
            <color indexed="81"/>
            <rFont val="Tahoma"/>
            <family val="2"/>
          </rPr>
          <t>Fong, Pauline (MOF):</t>
        </r>
        <r>
          <rPr>
            <sz val="9"/>
            <color indexed="81"/>
            <rFont val="Tahoma"/>
            <family val="2"/>
          </rPr>
          <t xml:space="preserve">
$3M difference between RCA liability on calculation versus IFIS run through as a credit to RCA expense this year
</t>
        </r>
      </text>
    </comment>
  </commentList>
</comments>
</file>

<file path=xl/comments5.xml><?xml version="1.0" encoding="utf-8"?>
<comments xmlns="http://schemas.openxmlformats.org/spreadsheetml/2006/main">
  <authors>
    <author>Pauline Fong</author>
  </authors>
  <commentList>
    <comment ref="O25" authorId="0" shapeId="0">
      <text>
        <r>
          <rPr>
            <b/>
            <sz val="8"/>
            <color indexed="81"/>
            <rFont val="Tahoma"/>
            <family val="2"/>
          </rPr>
          <t>Pauline Fong:</t>
        </r>
        <r>
          <rPr>
            <sz val="8"/>
            <color indexed="81"/>
            <rFont val="Tahoma"/>
            <family val="2"/>
          </rPr>
          <t xml:space="preserve">
Per OTPP December 31, 2010 financial statements</t>
        </r>
      </text>
    </comment>
  </commentList>
</comments>
</file>

<file path=xl/comments6.xml><?xml version="1.0" encoding="utf-8"?>
<comments xmlns="http://schemas.openxmlformats.org/spreadsheetml/2006/main">
  <authors>
    <author>Fong, Pauline (MOF)</author>
  </authors>
  <commentList>
    <comment ref="K6" authorId="0" shape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K19" authorId="0" shape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sharedStrings.xml><?xml version="1.0" encoding="utf-8"?>
<sst xmlns="http://schemas.openxmlformats.org/spreadsheetml/2006/main" count="1562" uniqueCount="507">
  <si>
    <t>Best Estimate Economic Assumptions</t>
  </si>
  <si>
    <t>Calendar Year</t>
  </si>
  <si>
    <t xml:space="preserve">  salary escalation</t>
  </si>
  <si>
    <t xml:space="preserve">  inflation</t>
  </si>
  <si>
    <t>Obligation for Pension Benefits</t>
  </si>
  <si>
    <t xml:space="preserve">  interest accrued on benefits</t>
  </si>
  <si>
    <t xml:space="preserve">  experience loss (gain)</t>
  </si>
  <si>
    <t xml:space="preserve">  increase (decrease) due to change in assumptions</t>
  </si>
  <si>
    <t xml:space="preserve">    check (ending - opening - change)</t>
  </si>
  <si>
    <t xml:space="preserve">  benefit payments (including transfers)</t>
  </si>
  <si>
    <t xml:space="preserve">    Net increase (decrease)</t>
  </si>
  <si>
    <t xml:space="preserve">  accrued benefit obligation, closing</t>
  </si>
  <si>
    <t>n/a</t>
  </si>
  <si>
    <t>Pension Fund Assets</t>
  </si>
  <si>
    <t xml:space="preserve">  net assets available for benefits, closing</t>
  </si>
  <si>
    <t xml:space="preserve">  interest on accounts receivable from Ontario </t>
  </si>
  <si>
    <t xml:space="preserve">  employee contributions</t>
  </si>
  <si>
    <t xml:space="preserve">  other employers' contributions</t>
  </si>
  <si>
    <t xml:space="preserve">  transfers from other plans</t>
  </si>
  <si>
    <t xml:space="preserve">  ontario matching contributions</t>
  </si>
  <si>
    <t xml:space="preserve">  ontario special payments</t>
  </si>
  <si>
    <t xml:space="preserve">    Total contributions</t>
  </si>
  <si>
    <t xml:space="preserve">    Pension fund assets, closing</t>
  </si>
  <si>
    <t>Contributions - calendar year</t>
  </si>
  <si>
    <t>Contributions - ontario's fiscal year</t>
  </si>
  <si>
    <t>Expected average remaining service life of employees</t>
  </si>
  <si>
    <t>Source</t>
  </si>
  <si>
    <t>letter to pension board</t>
  </si>
  <si>
    <t>actuary</t>
  </si>
  <si>
    <t>pension board/actuary</t>
  </si>
  <si>
    <t>actuary or plug</t>
  </si>
  <si>
    <t>formula</t>
  </si>
  <si>
    <t>pension board</t>
  </si>
  <si>
    <t>Public Accounts vol. 1</t>
  </si>
  <si>
    <t>1991-92</t>
  </si>
  <si>
    <t>1992-93</t>
  </si>
  <si>
    <t>1993-94</t>
  </si>
  <si>
    <t>1994-95</t>
  </si>
  <si>
    <t>1995-96</t>
  </si>
  <si>
    <t>1996-97</t>
  </si>
  <si>
    <t>1997-98</t>
  </si>
  <si>
    <t>1998-99</t>
  </si>
  <si>
    <t>1999-00</t>
  </si>
  <si>
    <t>2000-01</t>
  </si>
  <si>
    <t>2001-02</t>
  </si>
  <si>
    <t>2002-03</t>
  </si>
  <si>
    <t>Ontario Teachers' Pension Plan - Data Input</t>
  </si>
  <si>
    <t>Step 1: Interest on average accrued benefit obligation</t>
  </si>
  <si>
    <t xml:space="preserve">  accrued benefit obligation, opening</t>
  </si>
  <si>
    <t>data input</t>
  </si>
  <si>
    <t xml:space="preserve">  current period benefit cost (earned by employees)</t>
  </si>
  <si>
    <t xml:space="preserve">  add: average current period benefit cost</t>
  </si>
  <si>
    <t xml:space="preserve">  add: average increase due to plan amendments</t>
  </si>
  <si>
    <t xml:space="preserve">  less: average benefit payments (including transfers)</t>
  </si>
  <si>
    <t xml:space="preserve">    Average accrued benefit obligation</t>
  </si>
  <si>
    <t xml:space="preserve">  interest assumption</t>
  </si>
  <si>
    <t xml:space="preserve">    Interest expenditure on accrued benefit obligation</t>
  </si>
  <si>
    <t>data input + formula</t>
  </si>
  <si>
    <t>Step 2: Earnings on average pension fund assets</t>
  </si>
  <si>
    <t xml:space="preserve">  add: average contributions</t>
  </si>
  <si>
    <t xml:space="preserve">    Average pension fund assets</t>
  </si>
  <si>
    <t xml:space="preserve">    Interest revenue on pension fund assets</t>
  </si>
  <si>
    <t>Step 1 - Interest on accrued benefit obligation</t>
  </si>
  <si>
    <t>Less: Step 2 - Interest on pension fund assets</t>
  </si>
  <si>
    <t xml:space="preserve">  one-time audit adjustment</t>
  </si>
  <si>
    <t xml:space="preserve">  Pension Interest Expenditure (Revenue)</t>
  </si>
  <si>
    <t>above</t>
  </si>
  <si>
    <t xml:space="preserve">Ontario Teachers' Pension Plan - PSAB Calculations </t>
  </si>
  <si>
    <t>Pension Expenditure - Pension Interest Expenditure (Revenue)</t>
  </si>
  <si>
    <t>Step 1: Experience gain (loss) on accrued benefit obligation</t>
  </si>
  <si>
    <t xml:space="preserve">  add: current period benefit cost</t>
  </si>
  <si>
    <t xml:space="preserve">  add: increase due to plan amendments</t>
  </si>
  <si>
    <t xml:space="preserve">  add: interest expenditure on accrued benefit obligation</t>
  </si>
  <si>
    <t>"interest" sheet</t>
  </si>
  <si>
    <t xml:space="preserve">  less: benefit payments (including transfers)</t>
  </si>
  <si>
    <t xml:space="preserve">  Actual closing accrued benefit obligation</t>
  </si>
  <si>
    <t xml:space="preserve">    Experience gain (loss) on accrued benefit obligation</t>
  </si>
  <si>
    <t>Step 2: Experience gain (loss) on pension fund assets</t>
  </si>
  <si>
    <t xml:space="preserve">  add: contributions</t>
  </si>
  <si>
    <t xml:space="preserve">  add: interest revenue on pension fund asset</t>
  </si>
  <si>
    <t xml:space="preserve">  one-time audit adjustments</t>
  </si>
  <si>
    <t xml:space="preserve">    Expected closing pension fund assets</t>
  </si>
  <si>
    <t xml:space="preserve">  Actual closing pension fund assets</t>
  </si>
  <si>
    <t xml:space="preserve">    Experience gain (loss) on pension fund assets</t>
  </si>
  <si>
    <t xml:space="preserve">  adjustment for interest on accounts receivable from ontario</t>
  </si>
  <si>
    <t>Step 1 - Experience gain (loss) on accrued benefit obligation</t>
  </si>
  <si>
    <t>Step 2 - Experience gain (loss) on pension fund assets</t>
  </si>
  <si>
    <t xml:space="preserve">    Experience gain (loss)</t>
  </si>
  <si>
    <t xml:space="preserve">  </t>
  </si>
  <si>
    <t xml:space="preserve">  expected average remaining service life of employees (EARSL)</t>
  </si>
  <si>
    <t xml:space="preserve">    Annual amortization of experience gain (loss)</t>
  </si>
  <si>
    <t xml:space="preserve">  annual amortization related to 1991 experience gain (loss)</t>
  </si>
  <si>
    <t xml:space="preserve">  annual amortization related to 1992 experience gain (loss)</t>
  </si>
  <si>
    <t xml:space="preserve">  annual amortization related to 1993 experience gain (loss)</t>
  </si>
  <si>
    <t xml:space="preserve">  annual amortization related to 1994 experience gain (loss)</t>
  </si>
  <si>
    <t xml:space="preserve">  annual amortization related to 1995 experience gain (loss)</t>
  </si>
  <si>
    <t xml:space="preserve">  annual amortization related to 1996 experience gain (loss)</t>
  </si>
  <si>
    <t xml:space="preserve">  annual amortization related to 1997 experience gain (loss)</t>
  </si>
  <si>
    <t xml:space="preserve">  annual amortization related to 1998 experience gain (loss)</t>
  </si>
  <si>
    <t xml:space="preserve">  annual amortization related to 1999 experience gain (loss)</t>
  </si>
  <si>
    <t xml:space="preserve">  annual amortization related to 2000 experience gain (loss)</t>
  </si>
  <si>
    <t xml:space="preserve">  annual amortization related to 2001 experience gain (loss)</t>
  </si>
  <si>
    <t xml:space="preserve">  annual amortization related to 2002 experience gain (loss)</t>
  </si>
  <si>
    <t xml:space="preserve">Step 3: Experience gain (loss) </t>
  </si>
  <si>
    <t xml:space="preserve">    Amortization of experience gain (loss)</t>
  </si>
  <si>
    <t>Pension Expenditure - Amortization of Experience Gain (Loss)</t>
  </si>
  <si>
    <t>unamortized</t>
  </si>
  <si>
    <t>beg of 1996</t>
  </si>
  <si>
    <t>"experience g(l)" sheet</t>
  </si>
  <si>
    <t>in 1996</t>
  </si>
  <si>
    <t xml:space="preserve">    Recogntion of unamortized experience gain in 1996</t>
  </si>
  <si>
    <t xml:space="preserve">    Revised annual amortization schedule after 1996 plan amendments</t>
  </si>
  <si>
    <t xml:space="preserve">  recognition of 1991 unamortized experience gain in 1996</t>
  </si>
  <si>
    <t>Annual amortization schedule before offset of cost of plan amendments</t>
  </si>
  <si>
    <t>Recognition of unamortized experience gain in 1996</t>
  </si>
  <si>
    <t>Revised annual amortization schedule after 1996 plan amendments</t>
  </si>
  <si>
    <t>beg of 1997</t>
  </si>
  <si>
    <t>in 1997</t>
  </si>
  <si>
    <t>Recognition of unamortized experience gain in 1997</t>
  </si>
  <si>
    <t xml:space="preserve">    Recognition of unamoritzed experience gain in 1997</t>
  </si>
  <si>
    <t xml:space="preserve">  recognition of 1991 unamortized experience gain in 1997</t>
  </si>
  <si>
    <t xml:space="preserve">  recognition of 1993 unamortized experience gain in 1997</t>
  </si>
  <si>
    <t>"amendment" sheet</t>
  </si>
  <si>
    <t>Revised annual amortization schedule after 1997 plan amendments</t>
  </si>
  <si>
    <t xml:space="preserve">    Revised annual amortization schedule after 1997 plan amendments</t>
  </si>
  <si>
    <t>beg of 2001</t>
  </si>
  <si>
    <t>in 2001</t>
  </si>
  <si>
    <t>Recognition of unamortized experience gain in 2001</t>
  </si>
  <si>
    <t xml:space="preserve">    Recognition of unamoritzed experience gain in 2001</t>
  </si>
  <si>
    <t>Revised annual amortization schedule after 2001 plan amendments</t>
  </si>
  <si>
    <t xml:space="preserve">    Revised annual amortization schedule after 2001 plan amendments</t>
  </si>
  <si>
    <t>proration/manual</t>
  </si>
  <si>
    <t xml:space="preserve">  recognition of 1993 unamortized experience gain in 2001</t>
  </si>
  <si>
    <t xml:space="preserve">  recognition of 1995 unamortized experience gain in 2001</t>
  </si>
  <si>
    <t xml:space="preserve">  recognition of 1996 unamortized experience gain in 2001</t>
  </si>
  <si>
    <t xml:space="preserve">  recognition of 1997 unamortized experience gain in 2001</t>
  </si>
  <si>
    <t xml:space="preserve">    Total amortization of experience gain (loss) of the year</t>
  </si>
  <si>
    <t>Step 4: Accumulated experience gain (loss)</t>
  </si>
  <si>
    <t>Step 5: Annual amortization schedule before offset of cost of plan amendments</t>
  </si>
  <si>
    <t>Step 6: Recognition of unamortized experience gain to offset cost of plan amendment</t>
  </si>
  <si>
    <t>Step 7: Impact of Step 6 on annual amortization schedule</t>
  </si>
  <si>
    <t xml:space="preserve">    Total impact of Step 6 on annual amortization schedule</t>
  </si>
  <si>
    <t>Step 8: Total amortization of experience gain (loss)</t>
  </si>
  <si>
    <t xml:space="preserve">  Step 5: amortization before offset to cost of plan amendments</t>
  </si>
  <si>
    <t xml:space="preserve">  Step 7: impact of plan amendment on amortization </t>
  </si>
  <si>
    <t>Step 9: Pension liability - Unamortized experience gain (loss)</t>
  </si>
  <si>
    <t>Pension Liability - Unamortized Experience Gain (Loss)</t>
  </si>
  <si>
    <t xml:space="preserve">  Step 4: accumulated experience gain (loss)</t>
  </si>
  <si>
    <t xml:space="preserve">    Unamortized experience gain - closing balance</t>
  </si>
  <si>
    <t xml:space="preserve">  Less: cumulative amortization before offset to cost of plan amendments</t>
  </si>
  <si>
    <t xml:space="preserve">  Less: cumulative recognition of unamortized for plan amendments</t>
  </si>
  <si>
    <t xml:space="preserve">  Less: cumulative impact of plan amendment on amortization</t>
  </si>
  <si>
    <t>Pension Expenditure - Amortization of Initial Unfunded Liability</t>
  </si>
  <si>
    <t>Pension Liability - Unamortized Initial Unfunded Liability</t>
  </si>
  <si>
    <t>Pension Expenditure - Amortization of Difference Between Employer and Employee Contributions</t>
  </si>
  <si>
    <t>Pension Liability - Unamortized Difference Between Employer and Employee Contributions</t>
  </si>
  <si>
    <t>Fiscal Year</t>
  </si>
  <si>
    <t>Input data</t>
  </si>
  <si>
    <t xml:space="preserve">  amortization of 1993-94 difference</t>
  </si>
  <si>
    <t xml:space="preserve">  amortization of 1994-95 difference</t>
  </si>
  <si>
    <t xml:space="preserve">  amortization of 1995-96 difference</t>
  </si>
  <si>
    <t xml:space="preserve">  amortization of 1996-97 difference</t>
  </si>
  <si>
    <t xml:space="preserve">  amortization of 1997-98 difference</t>
  </si>
  <si>
    <t xml:space="preserve">  amortization of 1998-99 difference</t>
  </si>
  <si>
    <t xml:space="preserve">  amortization of 1999-00 difference</t>
  </si>
  <si>
    <t xml:space="preserve">  amortization of 2000-01 difference</t>
  </si>
  <si>
    <t xml:space="preserve">  amortization of 2001-02 difference</t>
  </si>
  <si>
    <t xml:space="preserve">    Total annual amortization of difference in contributions</t>
  </si>
  <si>
    <t>2003-04</t>
  </si>
  <si>
    <t>2004-05</t>
  </si>
  <si>
    <t>2005-06</t>
  </si>
  <si>
    <t>2006-07</t>
  </si>
  <si>
    <t>2007-08</t>
  </si>
  <si>
    <t>2008-09</t>
  </si>
  <si>
    <t>2009-10</t>
  </si>
  <si>
    <t>2010-11</t>
  </si>
  <si>
    <t>2011-12</t>
  </si>
  <si>
    <t>2012-13</t>
  </si>
  <si>
    <t>2013-14</t>
  </si>
  <si>
    <t>Step 1: Ontario's over (under) contribution - fiscal year</t>
  </si>
  <si>
    <t xml:space="preserve">  Less: employee contributions - calendar year</t>
  </si>
  <si>
    <t xml:space="preserve">  Less: other employers' contributions - calendar year</t>
  </si>
  <si>
    <t xml:space="preserve">    Ontario over (under) contribution</t>
  </si>
  <si>
    <t xml:space="preserve">  50% of Ontario's over (under) contribution</t>
  </si>
  <si>
    <t xml:space="preserve">    Annual amortization of difference in contributions</t>
  </si>
  <si>
    <t>Step 2: Amortization of difference in contributions</t>
  </si>
  <si>
    <t>Step 3: Annual amortization of difference in contributions</t>
  </si>
  <si>
    <t>Step 2</t>
  </si>
  <si>
    <t>Step 4: Unamortized difference in contributions</t>
  </si>
  <si>
    <t xml:space="preserve">  cumulative 50% over (under) contributions</t>
  </si>
  <si>
    <t xml:space="preserve">  less: cumulative amortization</t>
  </si>
  <si>
    <t xml:space="preserve">    Unamortized difference in contributions closing balance</t>
  </si>
  <si>
    <t>Province</t>
  </si>
  <si>
    <t>1990-91</t>
  </si>
  <si>
    <t>100% Pension Liability</t>
  </si>
  <si>
    <t>Pension Liability</t>
  </si>
  <si>
    <t>Unamortized experience gains</t>
  </si>
  <si>
    <t>Accrued benefit obligation, closing balance</t>
  </si>
  <si>
    <t>Less: pension fund assets, closing balance</t>
  </si>
  <si>
    <t>Adjustment for OTPP receivable from Proivnce</t>
  </si>
  <si>
    <t xml:space="preserve">  Pension liability at December 31</t>
  </si>
  <si>
    <t>Data input</t>
  </si>
  <si>
    <t xml:space="preserve">  Pension liability (surplus)</t>
  </si>
  <si>
    <t>Adjustment for different year ends</t>
  </si>
  <si>
    <t>"year end" sheet</t>
  </si>
  <si>
    <t xml:space="preserve">  Pension liability at March 31</t>
  </si>
  <si>
    <t>Reclassification</t>
  </si>
  <si>
    <t xml:space="preserve">  increase due to plan amendments expensed</t>
  </si>
  <si>
    <t xml:space="preserve">  increase due to plan amendments amortized</t>
  </si>
  <si>
    <t>Step 3 - Interest on accounts receivable from ont.</t>
  </si>
  <si>
    <t>Pension Liability - Adjustment for Dfferent Year Ends Between Pension Plan and Province</t>
  </si>
  <si>
    <t>Pension expenditure</t>
  </si>
  <si>
    <t>Opening pension liability</t>
  </si>
  <si>
    <t>Ending pension liability</t>
  </si>
  <si>
    <t>Input data (vol. 1)</t>
  </si>
  <si>
    <t>Audit adjustment</t>
  </si>
  <si>
    <t>Difference - adjustment required</t>
  </si>
  <si>
    <t xml:space="preserve">  checking</t>
  </si>
  <si>
    <t>Current period benefit cost</t>
  </si>
  <si>
    <t>Amortization of experience gains</t>
  </si>
  <si>
    <t xml:space="preserve">  Pension expenditure</t>
  </si>
  <si>
    <t>Pension interest expenditure</t>
  </si>
  <si>
    <t>Cost of plan amendment</t>
  </si>
  <si>
    <t>Recognition of unamortized experience gains</t>
  </si>
  <si>
    <t>"Interest" sheet</t>
  </si>
  <si>
    <t>Less: employee &amp; other employers' contributions</t>
  </si>
  <si>
    <t>"liability" sheet</t>
  </si>
  <si>
    <t>"expense" sheet</t>
  </si>
  <si>
    <t xml:space="preserve">Less: employer contribution </t>
  </si>
  <si>
    <t>vs. "liability" sheet</t>
  </si>
  <si>
    <t>Less: transfers from other plans</t>
  </si>
  <si>
    <t xml:space="preserve">  50% of closing pension liability</t>
  </si>
  <si>
    <t>Closing pension liability</t>
  </si>
  <si>
    <t>EARSL</t>
  </si>
  <si>
    <t>Annual amortization</t>
  </si>
  <si>
    <t>Unamortized balance</t>
  </si>
  <si>
    <t>50% Pension Liability Reflecing Accounting Policy for Joint Plans</t>
  </si>
  <si>
    <t>Amortization of difference in contributions</t>
  </si>
  <si>
    <t>formula - 50% of below</t>
  </si>
  <si>
    <t>"initial ufl" sheet</t>
  </si>
  <si>
    <t>"contributions" sheet</t>
  </si>
  <si>
    <t xml:space="preserve">formula </t>
  </si>
  <si>
    <t>100% Pension Expenditure</t>
  </si>
  <si>
    <t xml:space="preserve">  100% Pension expenditure</t>
  </si>
  <si>
    <t>Pension Expenditure</t>
  </si>
  <si>
    <t>50% Pension Expenditure Reflecing Accounting Policy for Joint Plans</t>
  </si>
  <si>
    <t>Less: amortization of initial unfunded liability</t>
  </si>
  <si>
    <t>Less: recognition of unamortized experience gains</t>
  </si>
  <si>
    <t>Unamortized initial unfunded liability</t>
  </si>
  <si>
    <t>Unamortized difference in contributions</t>
  </si>
  <si>
    <t xml:space="preserve">Plan Amendment - supporting calculation for Pension Expenditure - Amortization of Experience Gain (Loss) </t>
  </si>
  <si>
    <t>Less: Employer contribution - fiscal year</t>
  </si>
  <si>
    <t>Opening pension liability - March 31</t>
  </si>
  <si>
    <t>Closing pension liability - March 31</t>
  </si>
  <si>
    <t>Data Input</t>
  </si>
  <si>
    <t>Continuity</t>
  </si>
  <si>
    <t>Ontario Teachers' Retirement Compensation Arrangement - Data Input</t>
  </si>
  <si>
    <t>OTRCA statements</t>
  </si>
  <si>
    <t>Ontario Teachers' Retirement Compensation Arrangement - PSAB Calculations</t>
  </si>
  <si>
    <t>RCA data</t>
  </si>
  <si>
    <t>RCA data + formula</t>
  </si>
  <si>
    <t>Interest on average accrued benefit obligation</t>
  </si>
  <si>
    <t>"RCA interest" sheet</t>
  </si>
  <si>
    <t>Step 2: Accumulated experience gain (loss)</t>
  </si>
  <si>
    <t>Step 3: Annual amortization schedule before offset of cost of plan amendments</t>
  </si>
  <si>
    <t>"RCA exp g(l)" sheet</t>
  </si>
  <si>
    <t xml:space="preserve">    Recogntion of unamortized experience gain in 2001</t>
  </si>
  <si>
    <t>"RCA amend" sheet</t>
  </si>
  <si>
    <t>Step 4: Recognition of unamortized experience gain to offset cost of plan amendment</t>
  </si>
  <si>
    <t>Step 5: Impact of Step 4 on annual amortization schedule</t>
  </si>
  <si>
    <t xml:space="preserve">    Total impact of Step 4 on annual amortization schedule</t>
  </si>
  <si>
    <t>Step 6: Total amortization of experience gain (loss)</t>
  </si>
  <si>
    <t xml:space="preserve">  Step 3: amortization before offset to cost of plan amendments</t>
  </si>
  <si>
    <t xml:space="preserve">  Step 5: impact of plan amendment on amortization </t>
  </si>
  <si>
    <t>Step 7: Pension liability - Unamortized experience gain (loss)</t>
  </si>
  <si>
    <t xml:space="preserve">  Step 2: accumulated experience gain (loss)</t>
  </si>
  <si>
    <t>"RCA Interest" sheet</t>
  </si>
  <si>
    <t>"RCA exp" sheet</t>
  </si>
  <si>
    <t xml:space="preserve">Ontario Teachers' Pension Plan and Retirement Compensation Arrangement </t>
  </si>
  <si>
    <t>Total Pension Liability and Expenditure Reflecting Accounting Policy for Joint Plans</t>
  </si>
  <si>
    <t>Pension Liability Reflecing Accounting Policy for Joint Plans</t>
  </si>
  <si>
    <t>"liability" + "RCA liab"</t>
  </si>
  <si>
    <t>"liability"</t>
  </si>
  <si>
    <t>below</t>
  </si>
  <si>
    <t>RCA pick up closing liability</t>
  </si>
  <si>
    <t>Pension Expenditure Reflecing Accounting Policy for Joint Plans</t>
  </si>
  <si>
    <t>"RCA liab"</t>
  </si>
  <si>
    <t>input data</t>
  </si>
  <si>
    <t>Net Journal Entry in a modified cash environment</t>
  </si>
  <si>
    <t xml:space="preserve">  Less: cash contribution made by Ontario (fiscal year)</t>
  </si>
  <si>
    <t xml:space="preserve">    Net journal entry</t>
  </si>
  <si>
    <t>checking</t>
  </si>
  <si>
    <t xml:space="preserve">  return on investment/benefit discount rate</t>
  </si>
  <si>
    <t xml:space="preserve">  amortization of 2002-03 difference</t>
  </si>
  <si>
    <t>2014-15</t>
  </si>
  <si>
    <t>1999-2000</t>
  </si>
  <si>
    <t xml:space="preserve">  pension fund asset, opening</t>
  </si>
  <si>
    <t xml:space="preserve">    Expected closing accrued benefit obligation</t>
  </si>
  <si>
    <t>Check</t>
  </si>
  <si>
    <t xml:space="preserve"> Unamortized Openning Balance</t>
  </si>
  <si>
    <t xml:space="preserve">  Current Year Amortization</t>
  </si>
  <si>
    <t xml:space="preserve">  Current Year Experience gain (loss)</t>
  </si>
  <si>
    <t xml:space="preserve">  Recognition of Experience Gains on Plan Amendments</t>
  </si>
  <si>
    <t>Unamortized Experience Gain - Closing Balance</t>
  </si>
  <si>
    <t>Pension Expense</t>
  </si>
  <si>
    <t>Pension expense</t>
  </si>
  <si>
    <t xml:space="preserve">  Pension expense</t>
  </si>
  <si>
    <t>Unrounded</t>
  </si>
  <si>
    <t xml:space="preserve">  annual amortization related to 2003 experience gain (loss)</t>
  </si>
  <si>
    <t>2015-16</t>
  </si>
  <si>
    <t xml:space="preserve">  annual amortization related to 2004 experience gain (loss)</t>
  </si>
  <si>
    <t xml:space="preserve">  annual amortization related to 2005 experience gain (loss)</t>
  </si>
  <si>
    <t xml:space="preserve">  annual amortization related to 2006 experience gain (loss)</t>
  </si>
  <si>
    <t xml:space="preserve">  annual amortization related to 2007 experience gain (loss)</t>
  </si>
  <si>
    <t xml:space="preserve">  annual amortization related to 2008 experience gain (loss)</t>
  </si>
  <si>
    <t>2016-17</t>
  </si>
  <si>
    <t>2017-18</t>
  </si>
  <si>
    <t>2018-19</t>
  </si>
  <si>
    <t>2019-20</t>
  </si>
  <si>
    <t>2020-21</t>
  </si>
  <si>
    <t xml:space="preserve">  amortization of 2003-04 difference</t>
  </si>
  <si>
    <t xml:space="preserve">  amortization of 2004-05 difference</t>
  </si>
  <si>
    <t xml:space="preserve">  amortization of 2005-06 difference</t>
  </si>
  <si>
    <t xml:space="preserve">  amortization of 2006-07 difference</t>
  </si>
  <si>
    <t xml:space="preserve">  amortization of 2007-08 difference</t>
  </si>
  <si>
    <t xml:space="preserve">  amortization of 2008-09 difference</t>
  </si>
  <si>
    <t>Schedule of Contributions</t>
  </si>
  <si>
    <t>Less: fiscal year contributions</t>
  </si>
  <si>
    <t>"RCA data" sheet</t>
  </si>
  <si>
    <t xml:space="preserve">  annual amortization related to 2009 experience gain (loss)</t>
  </si>
  <si>
    <t>2021-22</t>
  </si>
  <si>
    <t>2022-23</t>
  </si>
  <si>
    <t xml:space="preserve">  annual amortization related to 2010 experience gain (loss)</t>
  </si>
  <si>
    <t>2023-24</t>
  </si>
  <si>
    <t xml:space="preserve">  amortization of 2009-10 difference</t>
  </si>
  <si>
    <t xml:space="preserve">  amortization of 2010-11 difference</t>
  </si>
  <si>
    <t xml:space="preserve">  annual amortization related to 2011 experience gain (loss)</t>
  </si>
  <si>
    <t>2024-25</t>
  </si>
  <si>
    <t>2025-26</t>
  </si>
  <si>
    <t xml:space="preserve">  amortization of 2011-12 difference</t>
  </si>
  <si>
    <t xml:space="preserve">  add: average transfers from other plans</t>
  </si>
  <si>
    <t xml:space="preserve">  add: transfers from other plans</t>
  </si>
  <si>
    <t>Less: amortization of cumulative transfers from other plans</t>
  </si>
  <si>
    <t>Cumulative transfers from other plans</t>
  </si>
  <si>
    <t>Annual amortization of cumulative transfers from other plans</t>
  </si>
  <si>
    <t>Accumulated amortization</t>
  </si>
  <si>
    <t xml:space="preserve">  100% Pension expenditure before amortization of transfers</t>
  </si>
  <si>
    <t>"expense" + "RCA exp"</t>
  </si>
  <si>
    <t xml:space="preserve">"expense" </t>
  </si>
  <si>
    <t>"RCA exp"</t>
  </si>
  <si>
    <t xml:space="preserve">  annual amortization related to 2012 experience gain (loss)</t>
  </si>
  <si>
    <t xml:space="preserve">  amortization of 2012-13 difference</t>
  </si>
  <si>
    <t xml:space="preserve">   </t>
  </si>
  <si>
    <t xml:space="preserve"> </t>
  </si>
  <si>
    <t>2026-27</t>
  </si>
  <si>
    <t xml:space="preserve">  annual amortization related to 2013 experience gain (loss)</t>
  </si>
  <si>
    <t>*****Amount has been fully amortized by 2006-07, and no longer applies******</t>
  </si>
  <si>
    <t>2027-28</t>
  </si>
  <si>
    <t xml:space="preserve">  annual amortization related to 2014 experience gain (loss)</t>
  </si>
  <si>
    <t xml:space="preserve">  amortization of 2013-14 difference</t>
  </si>
  <si>
    <t>Why add 0.61439875 from this year onward?</t>
  </si>
  <si>
    <t xml:space="preserve">  amortization of 2014-15 difference</t>
  </si>
  <si>
    <t>gain/(loss)</t>
  </si>
  <si>
    <t xml:space="preserve">  annual amortization related to 2015 experience gain (loss)</t>
  </si>
  <si>
    <t xml:space="preserve">  amortization of 2015-16 difference</t>
  </si>
  <si>
    <t>2028-29</t>
  </si>
  <si>
    <t>Add:</t>
  </si>
  <si>
    <t>Impact in 2010-11</t>
  </si>
  <si>
    <t xml:space="preserve">  annual amortization related to 2016 expereince gain (loss)</t>
  </si>
  <si>
    <t>2029-30</t>
  </si>
  <si>
    <t xml:space="preserve">  amortization of 2016-17 difference</t>
  </si>
  <si>
    <t xml:space="preserve">  annual amortization related to 2017 expereince gain (loss)</t>
  </si>
  <si>
    <t xml:space="preserve">  amortization of 2017-18 difference</t>
  </si>
  <si>
    <t>Ontario Teachers' Pension Plan</t>
  </si>
  <si>
    <t>Variance Analysis</t>
  </si>
  <si>
    <t>Original</t>
  </si>
  <si>
    <t>Budget</t>
  </si>
  <si>
    <t>year over year</t>
  </si>
  <si>
    <t>budget to actual</t>
  </si>
  <si>
    <t>$</t>
  </si>
  <si>
    <t>%</t>
  </si>
  <si>
    <t>M</t>
  </si>
  <si>
    <t>Variance is within reason</t>
  </si>
  <si>
    <t>(1)</t>
  </si>
  <si>
    <t>(2)</t>
  </si>
  <si>
    <t>(3)</t>
  </si>
  <si>
    <t>Variance explanation</t>
  </si>
  <si>
    <t>(4)</t>
  </si>
  <si>
    <t>(5)</t>
  </si>
  <si>
    <t xml:space="preserve">  Pension liability (Asset) at March 31</t>
  </si>
  <si>
    <t>Pension interest (revenue) expense</t>
  </si>
  <si>
    <t>Unamortized experience gains (losses)</t>
  </si>
  <si>
    <t>OG Account in Ministry 10</t>
  </si>
  <si>
    <t>Less Contributions</t>
  </si>
  <si>
    <t>Difference</t>
  </si>
  <si>
    <t>PSAB Expense per PSAB Calculation</t>
  </si>
  <si>
    <t>PSAB Expense to reconcile IFIS to PSAB Liability Calculation</t>
  </si>
  <si>
    <t xml:space="preserve">  Less: Ontario special payments for foregone CPI - fiscal year</t>
  </si>
  <si>
    <t xml:space="preserve">  Ontario contribution - fiscal year </t>
  </si>
  <si>
    <t>Special Payments for foregone CPI Index post 2009 Service</t>
  </si>
  <si>
    <t>CPI Special Payments - calendar</t>
  </si>
  <si>
    <t>CPI Special Payments - Fiscal</t>
  </si>
  <si>
    <t>Adjustment for Province's special payments for foreconge CPI Index</t>
  </si>
  <si>
    <t>Adjustment for special payments - foregone CPI</t>
  </si>
  <si>
    <t>"CPI Special Payments" sheet</t>
  </si>
  <si>
    <t>Other Adjustments</t>
  </si>
  <si>
    <t>Fiscal year</t>
  </si>
  <si>
    <t xml:space="preserve">  annual amortization related to 2018 expereince gain (loss)</t>
  </si>
  <si>
    <t xml:space="preserve">  ontario special payments - share the pain payments (Note 1)</t>
  </si>
  <si>
    <t xml:space="preserve">Note 1:  Foregone inflation payments are back out for calculating contribution differences between employer and employee.  As the Province already includes 100% index inflation as part of their expense. Contribution variance impact on additional special payment for foregone inflation is backed out of the calculation on the "contributions" tab".
</t>
  </si>
  <si>
    <t>To bring ministry liability to be in line with PSAB</t>
  </si>
  <si>
    <t>in Budget and in PA for RCA liability</t>
  </si>
  <si>
    <t>Total expense for RCA</t>
  </si>
  <si>
    <t>Add adjust in RCA</t>
  </si>
  <si>
    <t>Total</t>
  </si>
  <si>
    <t>Dr. Liability RCA on EDU's books</t>
  </si>
  <si>
    <t>Dr. Pension RCA Expense</t>
  </si>
  <si>
    <t>Other Adjustment to reconcile RCA</t>
  </si>
  <si>
    <t>Step 3</t>
  </si>
  <si>
    <t xml:space="preserve">  amortization of 2018-19 difference</t>
  </si>
  <si>
    <t xml:space="preserve">  return on investment </t>
  </si>
  <si>
    <t>immaterial</t>
  </si>
  <si>
    <t>Add:  Contributions</t>
  </si>
  <si>
    <t xml:space="preserve"> PSAB expense to be booked</t>
  </si>
  <si>
    <t>Ontario Teachers' Pension Plan (OTPP) Actuarial Asset Value Adjustment ($ millions)</t>
  </si>
  <si>
    <t>Calendar</t>
  </si>
  <si>
    <t>Gain/</t>
  </si>
  <si>
    <t>Year</t>
  </si>
  <si>
    <t>(Loss)</t>
  </si>
  <si>
    <t>Smoothing adjustment or unamortized gains/(losses)</t>
  </si>
  <si>
    <t>Gain/(loss) to be recognized in year</t>
  </si>
  <si>
    <t>Losses incurred between 2000 and 2002</t>
  </si>
  <si>
    <t>Gains earned between 2003 and 2006</t>
  </si>
  <si>
    <t>Losses incurred between 2007 and 2008</t>
  </si>
  <si>
    <t>Gains earned in 2009</t>
  </si>
  <si>
    <t>Gains earned in 2010</t>
  </si>
  <si>
    <t>Gains earned in 2011</t>
  </si>
  <si>
    <t>Gains earned in 2012</t>
  </si>
  <si>
    <t>Gains earned in 2013</t>
  </si>
  <si>
    <t>Gains earned in 2014</t>
  </si>
  <si>
    <t>Net Assets Available December 31, 2014</t>
  </si>
  <si>
    <t>Adjustment for Interest on accounts receivable from Ontario</t>
  </si>
  <si>
    <t>Add:  Interest Earned on Pension Asset based on expected of 6.75%</t>
  </si>
  <si>
    <t>Closing Expected Pension Assets</t>
  </si>
  <si>
    <t>Gain available for smoothing</t>
  </si>
  <si>
    <t xml:space="preserve">  annual amortization related to 2019 expereince gain (loss)</t>
  </si>
  <si>
    <t xml:space="preserve">  amortization of 2019-20 difference</t>
  </si>
  <si>
    <r>
      <t>end of</t>
    </r>
    <r>
      <rPr>
        <sz val="10"/>
        <color indexed="12"/>
        <rFont val="Arial"/>
        <family val="2"/>
      </rPr>
      <t xml:space="preserve"> 2015</t>
    </r>
  </si>
  <si>
    <r>
      <t xml:space="preserve">end of </t>
    </r>
    <r>
      <rPr>
        <sz val="10"/>
        <color indexed="12"/>
        <rFont val="Arial"/>
        <family val="2"/>
      </rPr>
      <t>2015</t>
    </r>
  </si>
  <si>
    <t xml:space="preserve">  actuarial smoothing adjustment</t>
  </si>
  <si>
    <t>Gains earned in 2015</t>
  </si>
  <si>
    <t>2015 Gain available for snoothing based on expected rate of return assumption of 6.50%</t>
  </si>
  <si>
    <t>Gains are derived from the expected rate of return based on Province's Investment return assumption of 6.50%</t>
  </si>
  <si>
    <t>Add:  Total contributions in 2015</t>
  </si>
  <si>
    <t>Less:  Total Benefit Payments 2015</t>
  </si>
  <si>
    <t>Net Assets Available December 31, 2015</t>
  </si>
  <si>
    <t>Add:  Average contributions in 2015</t>
  </si>
  <si>
    <t>Less:  Average benefit payments in 2015</t>
  </si>
  <si>
    <t>Expected rate of return assumption of 6.50%</t>
  </si>
  <si>
    <t>Note:  The Province has moved to Basis 3  The assumptions is Basis 3 is adopted at the end of the year.  Therefore the expected rate of return assumption at the beginning of the year is used for this year (i.e. 6.50%).  For Fiscal 2016-17 the expected rate return of 6.25% will be used to calculate the smooting adjustment.</t>
  </si>
  <si>
    <t>Asset (Obligation) March 31, 2015 Per IFIS</t>
  </si>
  <si>
    <t xml:space="preserve">Increase in amortization gains is due to the following Increase in amortization of investment gains from 2009 to 2014 as more of the investment gains from this period is included in pension fund assets.
</t>
  </si>
  <si>
    <t>Increase benefit obligation is mainly due to 2015 current service cost, 2015 period interest expense less 2015 period benefit payments.</t>
  </si>
  <si>
    <t>The increase in pension fund assets is due to more of the 2009 to 2015 investment gains are being smoothed into pension fund asset closing balance.</t>
  </si>
  <si>
    <t>The unamortized experience gains have increase due to 2015 investment gains are now included in the unamortized experience gains (losses) balance.</t>
  </si>
  <si>
    <r>
      <rPr>
        <b/>
        <u/>
        <sz val="10"/>
        <color indexed="12"/>
        <rFont val="Arial"/>
        <family val="2"/>
      </rPr>
      <t>Overall:</t>
    </r>
    <r>
      <rPr>
        <b/>
        <sz val="10"/>
        <color indexed="12"/>
        <rFont val="Arial"/>
        <family val="2"/>
      </rPr>
      <t xml:space="preserve">  </t>
    </r>
    <r>
      <rPr>
        <sz val="10"/>
        <rFont val="Arial"/>
        <family val="2"/>
      </rPr>
      <t>OTTP pension expense has decreased from prior year mainly due to increase in amortization of investment gains from 2009 to 2014, as more of the investment gains from this period is included in pension fund asset (are being smoothed into pension fund assets).  OTPP Pension net asset has increased due more of the 2009 to 2015 investment gains are being smoothed into pension fund assets closing balance is higher than increase in accrued benefit obligation.</t>
    </r>
  </si>
  <si>
    <t>March 31, 2016</t>
  </si>
  <si>
    <t>Asset (Obligation) March 31, 2016 PSAB Calculation</t>
  </si>
  <si>
    <t>Asset (Obligation) March 31, 2016 IFIS</t>
  </si>
  <si>
    <t>Actual current service cost is higher than orginally forecasted due to the increase active members was higher than orginally forecasted.</t>
  </si>
  <si>
    <t>"Liability" Sheet</t>
  </si>
  <si>
    <t>Adjusted Accrued Benefit Liability (Asset)</t>
  </si>
  <si>
    <t>Expected Future Benefit</t>
  </si>
  <si>
    <t>if assumed zero</t>
  </si>
  <si>
    <t>Valuation Allowance</t>
  </si>
  <si>
    <t>Less:  Valuation Allowance</t>
  </si>
  <si>
    <t xml:space="preserve">  Pension liability (Asset) at March 31 Before Valuation</t>
  </si>
  <si>
    <t xml:space="preserve">  Valuation Allowance</t>
  </si>
  <si>
    <t xml:space="preserve">  Expense increase (reduction) in valuation Allowance</t>
  </si>
  <si>
    <t xml:space="preserve">  Pension Liability (Asset) after valuation Allowance</t>
  </si>
  <si>
    <t>Market Related Value of Assets (100%)</t>
  </si>
  <si>
    <t>Accrued Benefit Obligation (100%)</t>
  </si>
  <si>
    <t>Accrued Benefit Obligation (50%)</t>
  </si>
  <si>
    <t>Market Related Value of Assets (50%)</t>
  </si>
  <si>
    <t>(Asset)/Liability or (Surplus)/Deficit (100%)</t>
  </si>
  <si>
    <t>(Asset)/Liability or (Surplus)/Deficit (50%)</t>
  </si>
  <si>
    <t>Market Value of Assets (100%)</t>
  </si>
  <si>
    <t>Market Value of Assets (50%)</t>
  </si>
  <si>
    <t>Market Value of Assets (MVA)</t>
  </si>
  <si>
    <t>Market Related Value of Assets (MRVA)</t>
  </si>
  <si>
    <r>
      <t xml:space="preserve">Unamortized gains/(losses) on </t>
    </r>
    <r>
      <rPr>
        <b/>
        <sz val="10"/>
        <rFont val="Arial"/>
        <family val="2"/>
      </rPr>
      <t>Market Related Value of Assets (MRVA)</t>
    </r>
  </si>
  <si>
    <t>Add:  Difference between MVA vs. MRVA</t>
  </si>
  <si>
    <t>Province's 50% Share</t>
  </si>
  <si>
    <t>Unamortized gains/(losses) determined by Market Value of Assets (MVA)</t>
  </si>
  <si>
    <t>Less:  Unamortized losses of MVA if any</t>
  </si>
  <si>
    <t>Accrued Benefit Liability (Asset) before any valuation allowance (50% share)</t>
  </si>
  <si>
    <t>Expense as result of  Increase (reduction) in valuation Allowance</t>
  </si>
  <si>
    <t xml:space="preserve">  Pension expense before valuation</t>
  </si>
  <si>
    <t xml:space="preserve">  Pension Expense after valuation Allowance</t>
  </si>
  <si>
    <t>Increase (reduction) in valuation allowance</t>
  </si>
  <si>
    <t>"Valuation Allowance" sheet</t>
  </si>
  <si>
    <t xml:space="preserve"> Increase (decrease) in valuation allowance OTPP only</t>
  </si>
  <si>
    <t xml:space="preserve"> Valuation Allowance</t>
  </si>
  <si>
    <t>Accrued Benefit (Asset) Liability after valuation Allowance</t>
  </si>
  <si>
    <t>OTHER UNAMORTIZED AMOUNTS</t>
  </si>
  <si>
    <t>difference 3 months</t>
  </si>
  <si>
    <t>other adjustments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</si>
</sst>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_-;\-* #,##0.00_-;_-* &quot;-&quot;??_-;_-@_-"/>
    <numFmt numFmtId="165" formatCode="_(* #,##0.00_);_(* \(#,##0.00\);_(* &quot;-&quot;??_);_(@_)"/>
    <numFmt numFmtId="166" formatCode="0.000%"/>
    <numFmt numFmtId="167" formatCode="_(* #,##0.0_);_(* \(#,##0.0\);_(* &quot;-&quot;??_);_(@_)"/>
    <numFmt numFmtId="168" formatCode="_(* #,##0_);_(* \(#,##0\);_(* &quot;-&quot;??_);_(@_)"/>
    <numFmt numFmtId="169" formatCode="0.0"/>
    <numFmt numFmtId="170" formatCode="#,##0.0"/>
    <numFmt numFmtId="171" formatCode="_(* #,##0.000_);_(* \(#,##0.000\);_(* &quot;-&quot;??_);_(@_)"/>
    <numFmt numFmtId="172" formatCode="_(* #,##0.00000_);_(* \(#,##0.00000\);_(* &quot;-&quot;??_);_(@_)"/>
    <numFmt numFmtId="173" formatCode="#,##0_ ;\-#,##0\ "/>
    <numFmt numFmtId="174" formatCode="0_ ;\-0\ "/>
    <numFmt numFmtId="175" formatCode="_-* #,##0_-;\-* #,##0_-;_-* &quot;-&quot;??_-;_-@_-"/>
  </numFmts>
  <fonts count="79" x14ac:knownFonts="1">
    <font>
      <sz val="10"/>
      <name val="Arial"/>
    </font>
    <font>
      <sz val="11"/>
      <color theme="1"/>
      <name val="Calibri"/>
      <family val="2"/>
      <scheme val="minor"/>
    </font>
    <font>
      <sz val="10"/>
      <name val="Arial"/>
      <family val="2"/>
    </font>
    <font>
      <b/>
      <sz val="10"/>
      <name val="Arial"/>
      <family val="2"/>
    </font>
    <font>
      <sz val="10"/>
      <name val="Arial"/>
      <family val="2"/>
    </font>
    <font>
      <i/>
      <sz val="10"/>
      <name val="Arial"/>
      <family val="2"/>
    </font>
    <font>
      <b/>
      <sz val="12"/>
      <name val="Arial"/>
      <family val="2"/>
    </font>
    <font>
      <b/>
      <i/>
      <sz val="10"/>
      <name val="Arial"/>
      <family val="2"/>
    </font>
    <font>
      <b/>
      <u/>
      <sz val="10"/>
      <name val="Arial"/>
      <family val="2"/>
    </font>
    <font>
      <b/>
      <i/>
      <u val="singleAccounting"/>
      <sz val="10"/>
      <name val="Arial"/>
      <family val="2"/>
    </font>
    <font>
      <b/>
      <u val="singleAccounting"/>
      <sz val="10"/>
      <name val="Arial"/>
      <family val="2"/>
    </font>
    <font>
      <b/>
      <i/>
      <sz val="12"/>
      <name val="Arial"/>
      <family val="2"/>
    </font>
    <font>
      <b/>
      <i/>
      <sz val="11"/>
      <name val="Arial"/>
      <family val="2"/>
    </font>
    <font>
      <i/>
      <sz val="11"/>
      <name val="Arial"/>
      <family val="2"/>
    </font>
    <font>
      <b/>
      <sz val="11"/>
      <name val="Arial"/>
      <family val="2"/>
    </font>
    <font>
      <sz val="11"/>
      <name val="Arial"/>
      <family val="2"/>
    </font>
    <font>
      <b/>
      <sz val="10"/>
      <color indexed="12"/>
      <name val="Arial"/>
      <family val="2"/>
    </font>
    <font>
      <sz val="10"/>
      <color indexed="12"/>
      <name val="Arial"/>
      <family val="2"/>
    </font>
    <font>
      <sz val="8"/>
      <name val="Arial"/>
      <family val="2"/>
    </font>
    <font>
      <b/>
      <sz val="8"/>
      <name val="Arial"/>
      <family val="2"/>
    </font>
    <font>
      <i/>
      <sz val="8"/>
      <name val="Arial"/>
      <family val="2"/>
    </font>
    <font>
      <b/>
      <i/>
      <sz val="8"/>
      <name val="Arial"/>
      <family val="2"/>
    </font>
    <font>
      <b/>
      <sz val="10"/>
      <name val="Arial"/>
      <family val="2"/>
    </font>
    <font>
      <sz val="10"/>
      <name val="Arial"/>
      <family val="2"/>
    </font>
    <font>
      <i/>
      <sz val="10"/>
      <name val="Arial"/>
      <family val="2"/>
    </font>
    <font>
      <sz val="10"/>
      <name val="Arial"/>
      <family val="2"/>
    </font>
    <font>
      <b/>
      <sz val="10"/>
      <color indexed="12"/>
      <name val="Arial"/>
      <family val="2"/>
    </font>
    <font>
      <sz val="8"/>
      <color indexed="81"/>
      <name val="Tahoma"/>
      <family val="2"/>
    </font>
    <font>
      <b/>
      <sz val="8"/>
      <color indexed="81"/>
      <name val="Tahoma"/>
      <family val="2"/>
    </font>
    <font>
      <strike/>
      <sz val="10"/>
      <color indexed="10"/>
      <name val="Arial"/>
      <family val="2"/>
    </font>
    <font>
      <b/>
      <sz val="10"/>
      <color indexed="17"/>
      <name val="Arial"/>
      <family val="2"/>
    </font>
    <font>
      <sz val="10"/>
      <color indexed="10"/>
      <name val="Arial"/>
      <family val="2"/>
    </font>
    <font>
      <b/>
      <sz val="10"/>
      <color indexed="10"/>
      <name val="Arial"/>
      <family val="2"/>
    </font>
    <font>
      <b/>
      <u/>
      <sz val="10"/>
      <color indexed="12"/>
      <name val="Arial"/>
      <family val="2"/>
    </font>
    <font>
      <sz val="10"/>
      <name val="Arial"/>
      <family val="2"/>
    </font>
    <font>
      <b/>
      <sz val="9"/>
      <color indexed="81"/>
      <name val="Tahoma"/>
      <family val="2"/>
    </font>
    <font>
      <sz val="9"/>
      <color indexed="81"/>
      <name val="Tahoma"/>
      <family val="2"/>
    </font>
    <font>
      <sz val="10"/>
      <color rgb="FF0070C0"/>
      <name val="Arial"/>
      <family val="2"/>
    </font>
    <font>
      <b/>
      <sz val="8"/>
      <color theme="6" tint="-0.499984740745262"/>
      <name val="Arial"/>
      <family val="2"/>
    </font>
    <font>
      <sz val="8"/>
      <color theme="6" tint="-0.499984740745262"/>
      <name val="Arial"/>
      <family val="2"/>
    </font>
    <font>
      <sz val="10"/>
      <color rgb="FFFFFF00"/>
      <name val="Arial"/>
      <family val="2"/>
    </font>
    <font>
      <sz val="10"/>
      <color theme="3"/>
      <name val="Arial"/>
      <family val="2"/>
    </font>
    <font>
      <sz val="10"/>
      <color rgb="FFC00000"/>
      <name val="Arial"/>
      <family val="2"/>
    </font>
    <font>
      <b/>
      <sz val="10"/>
      <color rgb="FFC00000"/>
      <name val="Arial"/>
      <family val="2"/>
    </font>
    <font>
      <sz val="10"/>
      <color theme="1"/>
      <name val="Arial"/>
      <family val="2"/>
    </font>
    <font>
      <sz val="10"/>
      <color theme="4"/>
      <name val="Arial"/>
      <family val="2"/>
    </font>
    <font>
      <u/>
      <sz val="9"/>
      <color indexed="81"/>
      <name val="Tahoma"/>
      <family val="2"/>
    </font>
    <font>
      <sz val="10"/>
      <color rgb="FF00B0F0"/>
      <name val="Arial"/>
      <family val="2"/>
    </font>
    <font>
      <i/>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66FF"/>
      <name val="Arial"/>
      <family val="2"/>
    </font>
    <font>
      <sz val="11"/>
      <color indexed="8"/>
      <name val="Calibri"/>
      <family val="2"/>
    </font>
    <font>
      <b/>
      <sz val="11"/>
      <color indexed="8"/>
      <name val="Calibri"/>
      <family val="2"/>
    </font>
    <font>
      <b/>
      <sz val="11"/>
      <color theme="7" tint="-0.249977111117893"/>
      <name val="Calibri"/>
      <family val="2"/>
    </font>
    <font>
      <sz val="10"/>
      <color theme="7" tint="-0.249977111117893"/>
      <name val="Arial"/>
      <family val="2"/>
    </font>
    <font>
      <sz val="10"/>
      <color rgb="FFFF0000"/>
      <name val="Arial"/>
      <family val="2"/>
    </font>
    <font>
      <i/>
      <sz val="10"/>
      <color rgb="FFFF0000"/>
      <name val="Arial"/>
      <family val="2"/>
    </font>
    <font>
      <sz val="10"/>
      <color theme="3" tint="0.39997558519241921"/>
      <name val="Arial"/>
      <family val="2"/>
    </font>
    <font>
      <sz val="10"/>
      <color rgb="FF0000FF"/>
      <name val="Arial"/>
      <family val="2"/>
    </font>
    <font>
      <b/>
      <sz val="10"/>
      <color rgb="FF0000FF"/>
      <name val="Arial"/>
      <family val="2"/>
    </font>
    <font>
      <b/>
      <sz val="14"/>
      <color rgb="FF0000FF"/>
      <name val="Arial"/>
      <family val="2"/>
    </font>
    <font>
      <sz val="14"/>
      <name val="Arial"/>
      <family val="2"/>
    </font>
    <font>
      <sz val="12"/>
      <name val="Arial"/>
      <family val="2"/>
    </font>
  </fonts>
  <fills count="53">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6"/>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C00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top/>
      <bottom style="double">
        <color indexed="64"/>
      </bottom>
      <diagonal/>
    </border>
  </borders>
  <cellStyleXfs count="48">
    <xf numFmtId="0" fontId="0" fillId="0" borderId="0"/>
    <xf numFmtId="165" fontId="2" fillId="0" borderId="0" applyFont="0" applyFill="0" applyBorder="0" applyAlignment="0" applyProtection="0"/>
    <xf numFmtId="9" fontId="2" fillId="0" borderId="0" applyFont="0" applyFill="0" applyBorder="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0" borderId="12" applyNumberFormat="0" applyFill="0" applyAlignment="0" applyProtection="0"/>
    <xf numFmtId="0" fontId="53" fillId="0" borderId="13" applyNumberFormat="0" applyFill="0" applyAlignment="0" applyProtection="0"/>
    <xf numFmtId="0" fontId="53" fillId="0" borderId="0" applyNumberFormat="0" applyFill="0" applyBorder="0" applyAlignment="0" applyProtection="0"/>
    <xf numFmtId="0" fontId="54" fillId="15" borderId="0" applyNumberFormat="0" applyBorder="0" applyAlignment="0" applyProtection="0"/>
    <xf numFmtId="0" fontId="55" fillId="16" borderId="0" applyNumberFormat="0" applyBorder="0" applyAlignment="0" applyProtection="0"/>
    <xf numFmtId="0" fontId="56" fillId="17" borderId="0" applyNumberFormat="0" applyBorder="0" applyAlignment="0" applyProtection="0"/>
    <xf numFmtId="0" fontId="57" fillId="18" borderId="14" applyNumberFormat="0" applyAlignment="0" applyProtection="0"/>
    <xf numFmtId="0" fontId="58" fillId="19" borderId="15" applyNumberFormat="0" applyAlignment="0" applyProtection="0"/>
    <xf numFmtId="0" fontId="59" fillId="19" borderId="14" applyNumberFormat="0" applyAlignment="0" applyProtection="0"/>
    <xf numFmtId="0" fontId="60" fillId="0" borderId="16" applyNumberFormat="0" applyFill="0" applyAlignment="0" applyProtection="0"/>
    <xf numFmtId="0" fontId="61" fillId="20" borderId="17"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19" applyNumberFormat="0" applyFill="0" applyAlignment="0" applyProtection="0"/>
    <xf numFmtId="0" fontId="6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5" fillId="45" borderId="0" applyNumberFormat="0" applyBorder="0" applyAlignment="0" applyProtection="0"/>
    <xf numFmtId="0" fontId="1" fillId="0" borderId="0"/>
    <xf numFmtId="0" fontId="2" fillId="0" borderId="0"/>
    <xf numFmtId="0" fontId="1" fillId="21" borderId="18" applyNumberFormat="0" applyFont="0" applyAlignment="0" applyProtection="0"/>
    <xf numFmtId="0" fontId="67" fillId="0" borderId="0"/>
    <xf numFmtId="165" fontId="67" fillId="0" borderId="0" applyFont="0" applyFill="0" applyBorder="0" applyAlignment="0" applyProtection="0"/>
  </cellStyleXfs>
  <cellXfs count="657">
    <xf numFmtId="0" fontId="0" fillId="0" borderId="0" xfId="0"/>
    <xf numFmtId="166" fontId="0" fillId="0" borderId="0" xfId="2" applyNumberFormat="1" applyFont="1"/>
    <xf numFmtId="0" fontId="3" fillId="0" borderId="0" xfId="0" applyFont="1"/>
    <xf numFmtId="168" fontId="0" fillId="0" borderId="0" xfId="1" applyNumberFormat="1" applyFont="1"/>
    <xf numFmtId="166" fontId="0" fillId="0" borderId="1" xfId="2" applyNumberFormat="1" applyFont="1" applyBorder="1"/>
    <xf numFmtId="166" fontId="0" fillId="0" borderId="2" xfId="2" applyNumberFormat="1" applyFont="1" applyBorder="1"/>
    <xf numFmtId="168" fontId="0" fillId="0" borderId="1" xfId="1" applyNumberFormat="1" applyFont="1" applyBorder="1"/>
    <xf numFmtId="168" fontId="0" fillId="0" borderId="2" xfId="1" applyNumberFormat="1" applyFont="1" applyBorder="1"/>
    <xf numFmtId="168" fontId="5" fillId="0" borderId="0" xfId="1" applyNumberFormat="1" applyFont="1"/>
    <xf numFmtId="168" fontId="4" fillId="0" borderId="0" xfId="1" applyNumberFormat="1" applyFont="1"/>
    <xf numFmtId="168" fontId="4" fillId="0" borderId="2" xfId="1" applyNumberFormat="1" applyFont="1" applyBorder="1"/>
    <xf numFmtId="0" fontId="0" fillId="0" borderId="1" xfId="0" applyBorder="1"/>
    <xf numFmtId="168" fontId="3" fillId="0" borderId="0" xfId="1" applyNumberFormat="1" applyFont="1"/>
    <xf numFmtId="0" fontId="3" fillId="0" borderId="0" xfId="0" applyFont="1" applyAlignment="1">
      <alignment horizontal="center"/>
    </xf>
    <xf numFmtId="0" fontId="5" fillId="0" borderId="0" xfId="0" applyFont="1"/>
    <xf numFmtId="168" fontId="5" fillId="0" borderId="0" xfId="0" applyNumberFormat="1" applyFont="1"/>
    <xf numFmtId="0" fontId="0" fillId="0" borderId="0" xfId="0" applyAlignment="1">
      <alignment horizontal="center"/>
    </xf>
    <xf numFmtId="0" fontId="4" fillId="0" borderId="0" xfId="0" applyFont="1" applyAlignment="1">
      <alignment horizontal="center"/>
    </xf>
    <xf numFmtId="0" fontId="6" fillId="0" borderId="0" xfId="0" applyFont="1"/>
    <xf numFmtId="0" fontId="3" fillId="0" borderId="3" xfId="0" applyFont="1" applyBorder="1"/>
    <xf numFmtId="0" fontId="3" fillId="0" borderId="3" xfId="0" applyFont="1" applyBorder="1" applyAlignment="1">
      <alignment horizontal="center"/>
    </xf>
    <xf numFmtId="168" fontId="5" fillId="0" borderId="4" xfId="1" applyNumberFormat="1" applyFont="1" applyBorder="1"/>
    <xf numFmtId="168" fontId="0" fillId="0" borderId="0" xfId="0" applyNumberFormat="1"/>
    <xf numFmtId="168" fontId="0" fillId="0" borderId="0" xfId="1" applyNumberFormat="1" applyFont="1" applyAlignment="1">
      <alignment horizontal="right"/>
    </xf>
    <xf numFmtId="168" fontId="0" fillId="0" borderId="1" xfId="1" applyNumberFormat="1" applyFont="1" applyBorder="1" applyAlignment="1">
      <alignment horizontal="right"/>
    </xf>
    <xf numFmtId="168" fontId="7" fillId="0" borderId="0" xfId="1" applyNumberFormat="1" applyFont="1"/>
    <xf numFmtId="168" fontId="7" fillId="0" borderId="4" xfId="1" applyNumberFormat="1" applyFont="1" applyBorder="1"/>
    <xf numFmtId="168" fontId="6" fillId="0" borderId="5" xfId="0" applyNumberFormat="1" applyFont="1" applyBorder="1"/>
    <xf numFmtId="0" fontId="8" fillId="0" borderId="0" xfId="0" applyFont="1"/>
    <xf numFmtId="168" fontId="0" fillId="0" borderId="6" xfId="1" applyNumberFormat="1" applyFont="1" applyBorder="1"/>
    <xf numFmtId="168" fontId="4" fillId="0" borderId="7" xfId="1" applyNumberFormat="1" applyFont="1" applyBorder="1" applyAlignment="1">
      <alignment horizontal="right"/>
    </xf>
    <xf numFmtId="0" fontId="7" fillId="0" borderId="0" xfId="0" applyFont="1"/>
    <xf numFmtId="168" fontId="7" fillId="0" borderId="8" xfId="0" applyNumberFormat="1" applyFont="1" applyBorder="1"/>
    <xf numFmtId="168" fontId="0" fillId="0" borderId="4" xfId="0" applyNumberFormat="1" applyBorder="1"/>
    <xf numFmtId="168" fontId="3" fillId="0" borderId="4" xfId="0" applyNumberFormat="1" applyFont="1" applyBorder="1"/>
    <xf numFmtId="168" fontId="5" fillId="0" borderId="1" xfId="1" applyNumberFormat="1" applyFont="1" applyBorder="1"/>
    <xf numFmtId="168" fontId="7" fillId="0" borderId="1" xfId="1" applyNumberFormat="1" applyFont="1" applyBorder="1"/>
    <xf numFmtId="168" fontId="7" fillId="0" borderId="4" xfId="0" applyNumberFormat="1" applyFont="1" applyBorder="1"/>
    <xf numFmtId="168" fontId="0" fillId="0" borderId="1" xfId="0" applyNumberFormat="1" applyBorder="1"/>
    <xf numFmtId="168" fontId="7" fillId="0" borderId="0" xfId="1" applyNumberFormat="1" applyFont="1" applyBorder="1"/>
    <xf numFmtId="168" fontId="9" fillId="0" borderId="0" xfId="1" applyNumberFormat="1" applyFont="1"/>
    <xf numFmtId="168" fontId="10" fillId="0" borderId="0" xfId="1" applyNumberFormat="1" applyFont="1"/>
    <xf numFmtId="168" fontId="4" fillId="0" borderId="0" xfId="1" quotePrefix="1" applyNumberFormat="1" applyFont="1"/>
    <xf numFmtId="168" fontId="6" fillId="0" borderId="4" xfId="0" applyNumberFormat="1" applyFont="1" applyBorder="1"/>
    <xf numFmtId="0" fontId="3" fillId="0" borderId="0" xfId="0" quotePrefix="1" applyFont="1"/>
    <xf numFmtId="168" fontId="0" fillId="0" borderId="0" xfId="1" applyNumberFormat="1" applyFont="1" applyBorder="1"/>
    <xf numFmtId="168" fontId="3" fillId="0" borderId="3" xfId="1" applyNumberFormat="1" applyFont="1" applyBorder="1"/>
    <xf numFmtId="168" fontId="3" fillId="0" borderId="3" xfId="1" applyNumberFormat="1" applyFont="1" applyBorder="1" applyAlignment="1">
      <alignment horizontal="center"/>
    </xf>
    <xf numFmtId="168" fontId="5" fillId="0" borderId="2" xfId="1" applyNumberFormat="1" applyFont="1" applyBorder="1"/>
    <xf numFmtId="168" fontId="6" fillId="0" borderId="0" xfId="1" applyNumberFormat="1" applyFont="1"/>
    <xf numFmtId="168" fontId="5" fillId="0" borderId="0" xfId="1" applyNumberFormat="1" applyFont="1" applyBorder="1"/>
    <xf numFmtId="168" fontId="0" fillId="0" borderId="5" xfId="1" applyNumberFormat="1" applyFont="1" applyBorder="1"/>
    <xf numFmtId="168" fontId="11" fillId="0" borderId="0" xfId="1" applyNumberFormat="1" applyFont="1"/>
    <xf numFmtId="168" fontId="3" fillId="0" borderId="0" xfId="1" quotePrefix="1" applyNumberFormat="1" applyFont="1"/>
    <xf numFmtId="168" fontId="6" fillId="0" borderId="5" xfId="1" applyNumberFormat="1" applyFont="1" applyBorder="1"/>
    <xf numFmtId="168" fontId="0" fillId="0" borderId="0" xfId="1" applyNumberFormat="1" applyFont="1" applyBorder="1" applyAlignment="1">
      <alignment horizontal="right"/>
    </xf>
    <xf numFmtId="168" fontId="6" fillId="0" borderId="4" xfId="1" applyNumberFormat="1" applyFont="1" applyBorder="1"/>
    <xf numFmtId="168" fontId="4" fillId="0" borderId="1" xfId="1" applyNumberFormat="1" applyFont="1" applyBorder="1"/>
    <xf numFmtId="166" fontId="4" fillId="0" borderId="0" xfId="2" applyNumberFormat="1" applyFont="1"/>
    <xf numFmtId="168" fontId="12" fillId="0" borderId="0" xfId="1" applyNumberFormat="1" applyFont="1"/>
    <xf numFmtId="168" fontId="13" fillId="0" borderId="0" xfId="1" applyNumberFormat="1" applyFont="1"/>
    <xf numFmtId="168" fontId="12" fillId="0" borderId="5" xfId="1" applyNumberFormat="1" applyFont="1" applyBorder="1"/>
    <xf numFmtId="49" fontId="3" fillId="0" borderId="3" xfId="0" applyNumberFormat="1" applyFont="1" applyBorder="1" applyAlignment="1">
      <alignment horizontal="center"/>
    </xf>
    <xf numFmtId="0" fontId="14" fillId="0" borderId="0" xfId="0" applyFont="1"/>
    <xf numFmtId="0" fontId="15" fillId="0" borderId="0" xfId="0" applyFont="1"/>
    <xf numFmtId="168" fontId="14" fillId="0" borderId="5" xfId="0" applyNumberFormat="1" applyFont="1" applyBorder="1"/>
    <xf numFmtId="168" fontId="0" fillId="0" borderId="5" xfId="0" applyNumberFormat="1" applyBorder="1"/>
    <xf numFmtId="168" fontId="3" fillId="0" borderId="5" xfId="0" applyNumberFormat="1" applyFont="1" applyBorder="1"/>
    <xf numFmtId="37" fontId="0" fillId="0" borderId="0" xfId="1" applyNumberFormat="1" applyFont="1"/>
    <xf numFmtId="168" fontId="0" fillId="0" borderId="0" xfId="1" quotePrefix="1" applyNumberFormat="1" applyFont="1"/>
    <xf numFmtId="3" fontId="4" fillId="0" borderId="0" xfId="1" applyNumberFormat="1" applyFont="1"/>
    <xf numFmtId="168" fontId="6" fillId="0" borderId="0" xfId="1" applyNumberFormat="1" applyFont="1" applyBorder="1"/>
    <xf numFmtId="37" fontId="4" fillId="0" borderId="0" xfId="1" applyNumberFormat="1" applyFont="1"/>
    <xf numFmtId="0" fontId="3" fillId="0" borderId="0" xfId="0" applyFont="1" applyBorder="1" applyAlignment="1">
      <alignment horizontal="center"/>
    </xf>
    <xf numFmtId="168" fontId="0" fillId="0" borderId="0" xfId="0" applyNumberFormat="1" applyBorder="1"/>
    <xf numFmtId="168" fontId="6" fillId="0" borderId="0" xfId="0" applyNumberFormat="1" applyFont="1" applyBorder="1"/>
    <xf numFmtId="0" fontId="0" fillId="2" borderId="0" xfId="0" applyFill="1"/>
    <xf numFmtId="0" fontId="3" fillId="2" borderId="3" xfId="0" applyFont="1" applyFill="1" applyBorder="1" applyAlignment="1">
      <alignment horizontal="center"/>
    </xf>
    <xf numFmtId="168" fontId="5" fillId="2" borderId="0" xfId="1" applyNumberFormat="1" applyFont="1" applyFill="1"/>
    <xf numFmtId="168" fontId="0" fillId="2" borderId="0" xfId="1" applyNumberFormat="1" applyFont="1" applyFill="1"/>
    <xf numFmtId="168" fontId="5" fillId="2" borderId="0" xfId="0" applyNumberFormat="1" applyFont="1" applyFill="1"/>
    <xf numFmtId="168" fontId="0" fillId="2" borderId="1" xfId="1" applyNumberFormat="1" applyFont="1" applyFill="1" applyBorder="1"/>
    <xf numFmtId="166" fontId="0" fillId="2" borderId="1" xfId="2" applyNumberFormat="1" applyFont="1" applyFill="1" applyBorder="1"/>
    <xf numFmtId="168" fontId="7" fillId="2" borderId="4" xfId="1" applyNumberFormat="1" applyFont="1" applyFill="1" applyBorder="1"/>
    <xf numFmtId="168" fontId="0" fillId="2" borderId="0" xfId="1" applyNumberFormat="1" applyFont="1" applyFill="1" applyAlignment="1">
      <alignment horizontal="right"/>
    </xf>
    <xf numFmtId="168" fontId="0" fillId="2" borderId="0" xfId="0" applyNumberFormat="1" applyFill="1"/>
    <xf numFmtId="168" fontId="0" fillId="2" borderId="1" xfId="1" applyNumberFormat="1" applyFont="1" applyFill="1" applyBorder="1" applyAlignment="1">
      <alignment horizontal="right"/>
    </xf>
    <xf numFmtId="168" fontId="14" fillId="2" borderId="5" xfId="0" applyNumberFormat="1" applyFont="1" applyFill="1" applyBorder="1"/>
    <xf numFmtId="168" fontId="7" fillId="2" borderId="8" xfId="0" applyNumberFormat="1" applyFont="1" applyFill="1" applyBorder="1"/>
    <xf numFmtId="0" fontId="0" fillId="2" borderId="1" xfId="0" applyFill="1" applyBorder="1"/>
    <xf numFmtId="168" fontId="7" fillId="2" borderId="0" xfId="1" applyNumberFormat="1" applyFont="1" applyFill="1" applyBorder="1"/>
    <xf numFmtId="168" fontId="7" fillId="2" borderId="4" xfId="0" applyNumberFormat="1" applyFont="1" applyFill="1" applyBorder="1"/>
    <xf numFmtId="168" fontId="0" fillId="2" borderId="1" xfId="0" applyNumberFormat="1" applyFill="1" applyBorder="1"/>
    <xf numFmtId="168" fontId="6" fillId="2" borderId="5" xfId="0" applyNumberFormat="1" applyFont="1" applyFill="1" applyBorder="1"/>
    <xf numFmtId="168" fontId="0" fillId="2" borderId="5" xfId="0" applyNumberFormat="1" applyFill="1" applyBorder="1"/>
    <xf numFmtId="168" fontId="5" fillId="2" borderId="4" xfId="1" applyNumberFormat="1" applyFont="1" applyFill="1" applyBorder="1"/>
    <xf numFmtId="168" fontId="6" fillId="2" borderId="4" xfId="0" applyNumberFormat="1" applyFont="1" applyFill="1" applyBorder="1"/>
    <xf numFmtId="168" fontId="3" fillId="2" borderId="3" xfId="1" applyNumberFormat="1" applyFont="1" applyFill="1" applyBorder="1" applyAlignment="1">
      <alignment horizontal="center"/>
    </xf>
    <xf numFmtId="168" fontId="5" fillId="2" borderId="0" xfId="1" applyNumberFormat="1" applyFont="1" applyFill="1" applyBorder="1"/>
    <xf numFmtId="168" fontId="6" fillId="2" borderId="5" xfId="1" applyNumberFormat="1" applyFont="1" applyFill="1" applyBorder="1"/>
    <xf numFmtId="168" fontId="0" fillId="2" borderId="0" xfId="1" applyNumberFormat="1" applyFont="1" applyFill="1" applyBorder="1"/>
    <xf numFmtId="168" fontId="0" fillId="2" borderId="0" xfId="1" applyNumberFormat="1" applyFont="1" applyFill="1" applyBorder="1" applyAlignment="1">
      <alignment horizontal="right"/>
    </xf>
    <xf numFmtId="168" fontId="6" fillId="2" borderId="4" xfId="1" applyNumberFormat="1" applyFont="1" applyFill="1" applyBorder="1"/>
    <xf numFmtId="168" fontId="4" fillId="2" borderId="0" xfId="1" applyNumberFormat="1" applyFont="1" applyFill="1"/>
    <xf numFmtId="168" fontId="4" fillId="2" borderId="1" xfId="1" applyNumberFormat="1" applyFont="1" applyFill="1" applyBorder="1"/>
    <xf numFmtId="168" fontId="0" fillId="2" borderId="5" xfId="1" applyNumberFormat="1" applyFont="1" applyFill="1" applyBorder="1"/>
    <xf numFmtId="168" fontId="0" fillId="0" borderId="0" xfId="0" applyNumberFormat="1" applyFill="1"/>
    <xf numFmtId="168" fontId="12" fillId="2" borderId="5" xfId="1" applyNumberFormat="1" applyFont="1" applyFill="1" applyBorder="1"/>
    <xf numFmtId="49" fontId="3" fillId="2" borderId="3" xfId="0" applyNumberFormat="1" applyFont="1" applyFill="1" applyBorder="1" applyAlignment="1">
      <alignment horizontal="center"/>
    </xf>
    <xf numFmtId="168" fontId="0" fillId="2" borderId="0" xfId="1" quotePrefix="1" applyNumberFormat="1" applyFont="1" applyFill="1"/>
    <xf numFmtId="37" fontId="0" fillId="2" borderId="0" xfId="1" applyNumberFormat="1" applyFont="1" applyFill="1"/>
    <xf numFmtId="168" fontId="6" fillId="2" borderId="0" xfId="1" applyNumberFormat="1" applyFont="1" applyFill="1" applyBorder="1"/>
    <xf numFmtId="37" fontId="4" fillId="2" borderId="0" xfId="1" applyNumberFormat="1" applyFont="1" applyFill="1"/>
    <xf numFmtId="168" fontId="3" fillId="2" borderId="5" xfId="0" applyNumberFormat="1" applyFont="1" applyFill="1" applyBorder="1"/>
    <xf numFmtId="0" fontId="0" fillId="0" borderId="2" xfId="0" applyBorder="1"/>
    <xf numFmtId="0" fontId="0" fillId="0" borderId="0" xfId="0" applyFill="1"/>
    <xf numFmtId="0" fontId="3" fillId="0" borderId="3" xfId="0" applyFont="1" applyFill="1" applyBorder="1" applyAlignment="1">
      <alignment horizontal="center"/>
    </xf>
    <xf numFmtId="166" fontId="0" fillId="0" borderId="2" xfId="2" applyNumberFormat="1" applyFont="1" applyFill="1" applyBorder="1"/>
    <xf numFmtId="168" fontId="0" fillId="0" borderId="2" xfId="1" applyNumberFormat="1" applyFont="1" applyFill="1" applyBorder="1"/>
    <xf numFmtId="168" fontId="5" fillId="0" borderId="0" xfId="1" applyNumberFormat="1" applyFont="1" applyFill="1"/>
    <xf numFmtId="168" fontId="4" fillId="0" borderId="2" xfId="1" applyNumberFormat="1" applyFont="1" applyFill="1" applyBorder="1"/>
    <xf numFmtId="168" fontId="0" fillId="0" borderId="0" xfId="1" applyNumberFormat="1" applyFont="1" applyFill="1"/>
    <xf numFmtId="168" fontId="5" fillId="0" borderId="2" xfId="1" applyNumberFormat="1" applyFont="1" applyFill="1" applyBorder="1"/>
    <xf numFmtId="0" fontId="3" fillId="0" borderId="0" xfId="0" applyFont="1" applyFill="1" applyAlignment="1">
      <alignment horizontal="center"/>
    </xf>
    <xf numFmtId="168" fontId="5" fillId="0" borderId="0" xfId="0" applyNumberFormat="1" applyFont="1" applyFill="1"/>
    <xf numFmtId="168" fontId="0" fillId="0" borderId="1" xfId="1" applyNumberFormat="1" applyFont="1" applyFill="1" applyBorder="1"/>
    <xf numFmtId="168" fontId="6" fillId="0" borderId="5" xfId="1" applyNumberFormat="1" applyFont="1" applyFill="1" applyBorder="1"/>
    <xf numFmtId="168" fontId="0" fillId="0" borderId="0" xfId="1" applyNumberFormat="1" applyFont="1" applyFill="1" applyBorder="1"/>
    <xf numFmtId="166" fontId="0" fillId="0" borderId="1" xfId="2" applyNumberFormat="1" applyFont="1" applyFill="1" applyBorder="1"/>
    <xf numFmtId="168" fontId="7" fillId="0" borderId="4" xfId="1" applyNumberFormat="1" applyFont="1" applyFill="1" applyBorder="1"/>
    <xf numFmtId="168" fontId="0" fillId="0" borderId="0" xfId="1" applyNumberFormat="1" applyFont="1" applyFill="1" applyAlignment="1">
      <alignment horizontal="right"/>
    </xf>
    <xf numFmtId="168" fontId="0" fillId="0" borderId="1" xfId="1" applyNumberFormat="1" applyFont="1" applyFill="1" applyBorder="1" applyAlignment="1">
      <alignment horizontal="right"/>
    </xf>
    <xf numFmtId="168" fontId="14" fillId="0" borderId="5" xfId="0" applyNumberFormat="1" applyFont="1" applyFill="1" applyBorder="1"/>
    <xf numFmtId="168" fontId="7" fillId="0" borderId="8" xfId="0" applyNumberFormat="1" applyFont="1" applyFill="1" applyBorder="1"/>
    <xf numFmtId="0" fontId="0" fillId="0" borderId="1" xfId="0" applyFill="1" applyBorder="1"/>
    <xf numFmtId="168" fontId="7" fillId="0" borderId="0" xfId="1" applyNumberFormat="1" applyFont="1" applyFill="1" applyBorder="1"/>
    <xf numFmtId="168" fontId="7" fillId="0" borderId="4" xfId="0" applyNumberFormat="1" applyFont="1" applyFill="1" applyBorder="1"/>
    <xf numFmtId="168" fontId="0" fillId="0" borderId="1" xfId="0" applyNumberFormat="1" applyFill="1" applyBorder="1"/>
    <xf numFmtId="168" fontId="6" fillId="0" borderId="5" xfId="0" applyNumberFormat="1" applyFont="1" applyFill="1" applyBorder="1"/>
    <xf numFmtId="168" fontId="0" fillId="0" borderId="5" xfId="0" applyNumberFormat="1" applyFill="1" applyBorder="1"/>
    <xf numFmtId="168" fontId="5" fillId="0" borderId="4" xfId="1" applyNumberFormat="1" applyFont="1" applyFill="1" applyBorder="1"/>
    <xf numFmtId="168" fontId="6" fillId="0" borderId="4" xfId="0" applyNumberFormat="1" applyFont="1" applyFill="1" applyBorder="1"/>
    <xf numFmtId="168" fontId="3" fillId="0" borderId="3" xfId="1" applyNumberFormat="1" applyFont="1" applyFill="1" applyBorder="1" applyAlignment="1">
      <alignment horizontal="center"/>
    </xf>
    <xf numFmtId="168" fontId="5" fillId="0" borderId="0" xfId="1" applyNumberFormat="1" applyFont="1" applyFill="1" applyBorder="1"/>
    <xf numFmtId="168" fontId="0" fillId="0" borderId="0" xfId="1" applyNumberFormat="1" applyFont="1" applyFill="1" applyBorder="1" applyAlignment="1">
      <alignment horizontal="right"/>
    </xf>
    <xf numFmtId="168" fontId="6" fillId="0" borderId="4" xfId="1" applyNumberFormat="1" applyFont="1" applyFill="1" applyBorder="1"/>
    <xf numFmtId="168" fontId="4" fillId="0" borderId="0" xfId="1" applyNumberFormat="1" applyFont="1" applyFill="1"/>
    <xf numFmtId="168" fontId="4" fillId="0" borderId="1" xfId="1" applyNumberFormat="1" applyFont="1" applyFill="1" applyBorder="1"/>
    <xf numFmtId="168" fontId="0" fillId="0" borderId="5" xfId="1" applyNumberFormat="1" applyFont="1" applyFill="1" applyBorder="1"/>
    <xf numFmtId="168" fontId="3" fillId="0" borderId="5" xfId="0" applyNumberFormat="1" applyFont="1" applyFill="1" applyBorder="1"/>
    <xf numFmtId="49" fontId="3" fillId="0" borderId="3" xfId="0" applyNumberFormat="1" applyFont="1" applyFill="1" applyBorder="1" applyAlignment="1">
      <alignment horizontal="center"/>
    </xf>
    <xf numFmtId="168" fontId="0" fillId="0" borderId="0" xfId="1" quotePrefix="1" applyNumberFormat="1" applyFont="1" applyFill="1"/>
    <xf numFmtId="168" fontId="12" fillId="0" borderId="5" xfId="1" applyNumberFormat="1" applyFont="1" applyFill="1" applyBorder="1"/>
    <xf numFmtId="37" fontId="0" fillId="0" borderId="0" xfId="1" applyNumberFormat="1" applyFont="1" applyFill="1"/>
    <xf numFmtId="168" fontId="6" fillId="0" borderId="0" xfId="1" applyNumberFormat="1" applyFont="1" applyFill="1" applyBorder="1"/>
    <xf numFmtId="1" fontId="0" fillId="0" borderId="2" xfId="0" applyNumberFormat="1" applyFill="1" applyBorder="1"/>
    <xf numFmtId="168" fontId="4" fillId="0" borderId="0" xfId="1" applyNumberFormat="1" applyFont="1" applyFill="1" applyBorder="1"/>
    <xf numFmtId="168" fontId="0" fillId="3" borderId="0" xfId="1" applyNumberFormat="1" applyFont="1" applyFill="1"/>
    <xf numFmtId="168" fontId="0" fillId="3" borderId="2" xfId="1" applyNumberFormat="1" applyFont="1" applyFill="1" applyBorder="1"/>
    <xf numFmtId="3" fontId="0" fillId="0" borderId="0" xfId="0" applyNumberFormat="1" applyFill="1"/>
    <xf numFmtId="3" fontId="0" fillId="2" borderId="0" xfId="0" applyNumberFormat="1" applyFill="1"/>
    <xf numFmtId="0" fontId="0" fillId="3" borderId="1" xfId="0" applyFill="1" applyBorder="1"/>
    <xf numFmtId="3" fontId="0" fillId="3" borderId="1" xfId="0" applyNumberFormat="1" applyFill="1" applyBorder="1"/>
    <xf numFmtId="168" fontId="6" fillId="0" borderId="0" xfId="0" applyNumberFormat="1" applyFont="1" applyFill="1"/>
    <xf numFmtId="0" fontId="6" fillId="0" borderId="0" xfId="0" applyFont="1" applyFill="1"/>
    <xf numFmtId="3" fontId="6" fillId="0" borderId="0" xfId="0" applyNumberFormat="1" applyFont="1" applyFill="1"/>
    <xf numFmtId="3" fontId="6" fillId="2" borderId="0" xfId="0" applyNumberFormat="1" applyFont="1" applyFill="1"/>
    <xf numFmtId="3" fontId="6" fillId="0" borderId="0" xfId="0" applyNumberFormat="1" applyFont="1"/>
    <xf numFmtId="168" fontId="6" fillId="2" borderId="0" xfId="0" applyNumberFormat="1" applyFont="1" applyFill="1"/>
    <xf numFmtId="3" fontId="0" fillId="0" borderId="1" xfId="0" applyNumberFormat="1" applyFill="1" applyBorder="1"/>
    <xf numFmtId="37" fontId="4" fillId="0" borderId="0" xfId="1" applyNumberFormat="1" applyFont="1" applyFill="1"/>
    <xf numFmtId="0" fontId="0" fillId="0" borderId="0" xfId="0" applyFill="1" applyBorder="1"/>
    <xf numFmtId="0" fontId="3" fillId="0" borderId="0" xfId="0" applyFont="1" applyFill="1" applyBorder="1"/>
    <xf numFmtId="166" fontId="0" fillId="0" borderId="0" xfId="2" applyNumberFormat="1" applyFont="1" applyFill="1" applyBorder="1"/>
    <xf numFmtId="0" fontId="5" fillId="0" borderId="0" xfId="0" applyFont="1" applyFill="1" applyBorder="1"/>
    <xf numFmtId="168" fontId="7" fillId="2" borderId="0" xfId="1" applyNumberFormat="1" applyFont="1" applyFill="1"/>
    <xf numFmtId="0" fontId="18" fillId="0" borderId="0" xfId="0" applyFont="1"/>
    <xf numFmtId="0" fontId="19" fillId="0" borderId="0" xfId="0" applyFont="1"/>
    <xf numFmtId="168" fontId="18" fillId="0" borderId="0" xfId="1" applyNumberFormat="1" applyFont="1"/>
    <xf numFmtId="168" fontId="20" fillId="0" borderId="0" xfId="1" applyNumberFormat="1" applyFont="1"/>
    <xf numFmtId="0" fontId="18" fillId="0" borderId="0" xfId="0" applyFont="1" applyAlignment="1">
      <alignment horizontal="right"/>
    </xf>
    <xf numFmtId="0" fontId="19" fillId="0" borderId="0" xfId="0" applyFont="1" applyAlignment="1">
      <alignment horizontal="right"/>
    </xf>
    <xf numFmtId="168" fontId="18" fillId="0" borderId="0" xfId="1" applyNumberFormat="1" applyFont="1" applyAlignment="1">
      <alignment horizontal="right"/>
    </xf>
    <xf numFmtId="168" fontId="20" fillId="0" borderId="0" xfId="1" applyNumberFormat="1" applyFont="1" applyAlignment="1">
      <alignment horizontal="right"/>
    </xf>
    <xf numFmtId="168" fontId="18" fillId="2" borderId="0" xfId="1" applyNumberFormat="1" applyFont="1" applyFill="1" applyAlignment="1">
      <alignment horizontal="right"/>
    </xf>
    <xf numFmtId="168" fontId="21" fillId="0" borderId="0" xfId="1" applyNumberFormat="1" applyFont="1"/>
    <xf numFmtId="166" fontId="18" fillId="0" borderId="0" xfId="2" applyNumberFormat="1" applyFont="1"/>
    <xf numFmtId="0" fontId="21" fillId="0" borderId="0" xfId="0" applyFont="1"/>
    <xf numFmtId="168" fontId="18" fillId="0" borderId="0" xfId="0" applyNumberFormat="1" applyFont="1"/>
    <xf numFmtId="168" fontId="18" fillId="0" borderId="0" xfId="0" applyNumberFormat="1" applyFont="1" applyFill="1"/>
    <xf numFmtId="37" fontId="0" fillId="3" borderId="0" xfId="1" applyNumberFormat="1" applyFont="1" applyFill="1"/>
    <xf numFmtId="0" fontId="2" fillId="2" borderId="0" xfId="0" applyFont="1" applyFill="1"/>
    <xf numFmtId="0" fontId="22" fillId="2" borderId="3" xfId="0" applyFont="1" applyFill="1" applyBorder="1" applyAlignment="1">
      <alignment horizontal="center"/>
    </xf>
    <xf numFmtId="0" fontId="23" fillId="2" borderId="0" xfId="0" applyFont="1" applyFill="1"/>
    <xf numFmtId="168" fontId="14" fillId="0" borderId="0" xfId="1" applyNumberFormat="1" applyFont="1"/>
    <xf numFmtId="0" fontId="2" fillId="0" borderId="0" xfId="0" applyFont="1" applyFill="1"/>
    <xf numFmtId="0" fontId="22" fillId="0" borderId="3" xfId="0" applyFont="1" applyFill="1" applyBorder="1" applyAlignment="1">
      <alignment horizontal="center"/>
    </xf>
    <xf numFmtId="0" fontId="23" fillId="0" borderId="0" xfId="0" applyFont="1" applyFill="1"/>
    <xf numFmtId="166" fontId="23" fillId="0" borderId="2" xfId="2" applyNumberFormat="1" applyFont="1" applyFill="1" applyBorder="1"/>
    <xf numFmtId="168" fontId="23" fillId="0" borderId="2" xfId="1" applyNumberFormat="1" applyFont="1" applyFill="1" applyBorder="1"/>
    <xf numFmtId="168" fontId="24" fillId="0" borderId="0" xfId="1" applyNumberFormat="1" applyFont="1" applyFill="1"/>
    <xf numFmtId="0" fontId="25" fillId="0" borderId="0" xfId="0" applyFont="1" applyFill="1"/>
    <xf numFmtId="168" fontId="25" fillId="0" borderId="2" xfId="1" applyNumberFormat="1" applyFont="1" applyFill="1" applyBorder="1"/>
    <xf numFmtId="168" fontId="25" fillId="0" borderId="0" xfId="1" applyNumberFormat="1" applyFont="1" applyFill="1"/>
    <xf numFmtId="168" fontId="24" fillId="0" borderId="2" xfId="1" applyNumberFormat="1" applyFont="1" applyFill="1" applyBorder="1"/>
    <xf numFmtId="0" fontId="22" fillId="0" borderId="0" xfId="0" applyFont="1" applyFill="1" applyAlignment="1">
      <alignment horizontal="center"/>
    </xf>
    <xf numFmtId="168" fontId="24" fillId="0" borderId="0" xfId="0" applyNumberFormat="1" applyFont="1" applyFill="1"/>
    <xf numFmtId="168" fontId="17" fillId="0" borderId="0" xfId="0" applyNumberFormat="1" applyFont="1" applyFill="1"/>
    <xf numFmtId="169" fontId="0" fillId="0" borderId="1" xfId="0" applyNumberFormat="1" applyFill="1" applyBorder="1"/>
    <xf numFmtId="3" fontId="4" fillId="0" borderId="0" xfId="1" applyNumberFormat="1" applyFont="1" applyFill="1"/>
    <xf numFmtId="168" fontId="18" fillId="0" borderId="0" xfId="1" applyNumberFormat="1" applyFont="1" applyFill="1" applyAlignment="1">
      <alignment horizontal="right"/>
    </xf>
    <xf numFmtId="167" fontId="0" fillId="2" borderId="0" xfId="1" applyNumberFormat="1" applyFont="1" applyFill="1"/>
    <xf numFmtId="167" fontId="0" fillId="0" borderId="0" xfId="1" applyNumberFormat="1" applyFont="1" applyFill="1"/>
    <xf numFmtId="171" fontId="0" fillId="2" borderId="0" xfId="0" applyNumberFormat="1" applyFill="1"/>
    <xf numFmtId="0" fontId="3" fillId="0" borderId="0" xfId="0" applyFont="1" applyFill="1"/>
    <xf numFmtId="168" fontId="6" fillId="0" borderId="0" xfId="1" applyNumberFormat="1" applyFont="1" applyFill="1"/>
    <xf numFmtId="168" fontId="12" fillId="0" borderId="0" xfId="1" applyNumberFormat="1" applyFont="1" applyFill="1"/>
    <xf numFmtId="0" fontId="5" fillId="0" borderId="0" xfId="0" applyFont="1" applyFill="1"/>
    <xf numFmtId="166" fontId="17" fillId="0" borderId="0" xfId="2" applyNumberFormat="1" applyFont="1" applyFill="1" applyBorder="1"/>
    <xf numFmtId="170" fontId="24" fillId="0" borderId="2" xfId="1" applyNumberFormat="1" applyFont="1" applyFill="1" applyBorder="1"/>
    <xf numFmtId="166" fontId="2" fillId="0" borderId="2" xfId="2" applyNumberFormat="1" applyFont="1" applyFill="1" applyBorder="1"/>
    <xf numFmtId="168" fontId="2" fillId="0" borderId="2" xfId="1" applyNumberFormat="1" applyFont="1" applyFill="1" applyBorder="1"/>
    <xf numFmtId="168" fontId="25" fillId="0" borderId="0" xfId="0" applyNumberFormat="1" applyFont="1" applyFill="1"/>
    <xf numFmtId="170" fontId="25" fillId="0" borderId="2" xfId="1" applyNumberFormat="1" applyFont="1" applyFill="1" applyBorder="1"/>
    <xf numFmtId="168" fontId="18" fillId="4" borderId="0" xfId="0" applyNumberFormat="1" applyFont="1" applyFill="1"/>
    <xf numFmtId="168" fontId="17" fillId="2" borderId="0" xfId="1" applyNumberFormat="1" applyFont="1" applyFill="1"/>
    <xf numFmtId="165" fontId="0" fillId="0" borderId="0" xfId="1" applyNumberFormat="1" applyFont="1" applyFill="1"/>
    <xf numFmtId="165" fontId="0" fillId="0" borderId="0" xfId="1" applyNumberFormat="1" applyFont="1" applyFill="1" applyBorder="1" applyAlignment="1">
      <alignment horizontal="right"/>
    </xf>
    <xf numFmtId="165" fontId="0" fillId="0" borderId="1" xfId="1" applyNumberFormat="1" applyFont="1" applyFill="1" applyBorder="1" applyAlignment="1">
      <alignment horizontal="right"/>
    </xf>
    <xf numFmtId="165" fontId="6" fillId="0" borderId="4" xfId="1" applyNumberFormat="1" applyFont="1" applyFill="1" applyBorder="1"/>
    <xf numFmtId="165" fontId="0" fillId="0" borderId="0" xfId="1" applyNumberFormat="1" applyFont="1" applyFill="1" applyAlignment="1">
      <alignment horizontal="right"/>
    </xf>
    <xf numFmtId="0" fontId="4" fillId="0" borderId="0" xfId="0" applyFont="1"/>
    <xf numFmtId="37" fontId="0" fillId="0" borderId="0" xfId="0" applyNumberFormat="1" applyFill="1"/>
    <xf numFmtId="168" fontId="17" fillId="0" borderId="2" xfId="1" applyNumberFormat="1" applyFont="1" applyFill="1" applyBorder="1"/>
    <xf numFmtId="170" fontId="0" fillId="0" borderId="2" xfId="1" applyNumberFormat="1" applyFont="1" applyFill="1" applyBorder="1"/>
    <xf numFmtId="0" fontId="17" fillId="2" borderId="0" xfId="0" applyFont="1" applyFill="1"/>
    <xf numFmtId="168" fontId="17" fillId="0" borderId="0" xfId="1" applyNumberFormat="1" applyFont="1"/>
    <xf numFmtId="168" fontId="2" fillId="2" borderId="0" xfId="1" applyNumberFormat="1" applyFont="1" applyFill="1"/>
    <xf numFmtId="0" fontId="0" fillId="5" borderId="0" xfId="0" applyFill="1"/>
    <xf numFmtId="0" fontId="16" fillId="5" borderId="3" xfId="0" applyFont="1" applyFill="1" applyBorder="1" applyAlignment="1">
      <alignment horizontal="center"/>
    </xf>
    <xf numFmtId="168" fontId="0" fillId="5" borderId="0" xfId="1" applyNumberFormat="1" applyFont="1" applyFill="1"/>
    <xf numFmtId="168" fontId="0" fillId="5" borderId="1" xfId="1" applyNumberFormat="1" applyFont="1" applyFill="1" applyBorder="1"/>
    <xf numFmtId="168" fontId="5" fillId="5" borderId="0" xfId="1" applyNumberFormat="1" applyFont="1" applyFill="1"/>
    <xf numFmtId="166" fontId="0" fillId="5" borderId="1" xfId="2" applyNumberFormat="1" applyFont="1" applyFill="1" applyBorder="1"/>
    <xf numFmtId="168" fontId="7" fillId="5" borderId="4" xfId="1" applyNumberFormat="1" applyFont="1" applyFill="1" applyBorder="1"/>
    <xf numFmtId="168" fontId="0" fillId="5" borderId="0" xfId="1" applyNumberFormat="1" applyFont="1" applyFill="1" applyAlignment="1">
      <alignment horizontal="right"/>
    </xf>
    <xf numFmtId="168" fontId="0" fillId="5" borderId="0" xfId="0" applyNumberFormat="1" applyFill="1"/>
    <xf numFmtId="168" fontId="0" fillId="5" borderId="1" xfId="1" applyNumberFormat="1" applyFont="1" applyFill="1" applyBorder="1" applyAlignment="1">
      <alignment horizontal="right"/>
    </xf>
    <xf numFmtId="168" fontId="14" fillId="5" borderId="5" xfId="0" applyNumberFormat="1" applyFont="1" applyFill="1" applyBorder="1"/>
    <xf numFmtId="168" fontId="7" fillId="5" borderId="8" xfId="0" applyNumberFormat="1" applyFont="1" applyFill="1" applyBorder="1"/>
    <xf numFmtId="0" fontId="0" fillId="5" borderId="1" xfId="0" applyFill="1" applyBorder="1"/>
    <xf numFmtId="168" fontId="7" fillId="5" borderId="0" xfId="1" applyNumberFormat="1" applyFont="1" applyFill="1"/>
    <xf numFmtId="168" fontId="7" fillId="5" borderId="0" xfId="1" applyNumberFormat="1" applyFont="1" applyFill="1" applyBorder="1"/>
    <xf numFmtId="168" fontId="7" fillId="5" borderId="4" xfId="0" applyNumberFormat="1" applyFont="1" applyFill="1" applyBorder="1"/>
    <xf numFmtId="168" fontId="0" fillId="5" borderId="1" xfId="0" applyNumberFormat="1" applyFill="1" applyBorder="1"/>
    <xf numFmtId="168" fontId="6" fillId="5" borderId="5" xfId="0" applyNumberFormat="1" applyFont="1" applyFill="1" applyBorder="1"/>
    <xf numFmtId="168" fontId="0" fillId="5" borderId="5" xfId="0" applyNumberFormat="1" applyFill="1" applyBorder="1"/>
    <xf numFmtId="0" fontId="2" fillId="5" borderId="0" xfId="0" applyFont="1" applyFill="1"/>
    <xf numFmtId="0" fontId="26" fillId="5" borderId="3" xfId="0" applyFont="1" applyFill="1" applyBorder="1" applyAlignment="1">
      <alignment horizontal="center"/>
    </xf>
    <xf numFmtId="0" fontId="23" fillId="5" borderId="0" xfId="0" applyFont="1" applyFill="1"/>
    <xf numFmtId="168" fontId="3" fillId="5" borderId="5" xfId="0" applyNumberFormat="1" applyFont="1" applyFill="1" applyBorder="1"/>
    <xf numFmtId="168" fontId="5" fillId="5" borderId="4" xfId="1" applyNumberFormat="1" applyFont="1" applyFill="1" applyBorder="1"/>
    <xf numFmtId="167" fontId="0" fillId="5" borderId="0" xfId="1" applyNumberFormat="1" applyFont="1" applyFill="1"/>
    <xf numFmtId="168" fontId="6" fillId="5" borderId="4" xfId="0" applyNumberFormat="1" applyFont="1" applyFill="1" applyBorder="1"/>
    <xf numFmtId="168" fontId="3" fillId="5" borderId="3" xfId="1" applyNumberFormat="1" applyFont="1" applyFill="1" applyBorder="1" applyAlignment="1">
      <alignment horizontal="center"/>
    </xf>
    <xf numFmtId="168" fontId="5" fillId="5" borderId="0" xfId="1" applyNumberFormat="1" applyFont="1" applyFill="1" applyBorder="1"/>
    <xf numFmtId="168" fontId="4" fillId="5" borderId="0" xfId="1" applyNumberFormat="1" applyFont="1" applyFill="1"/>
    <xf numFmtId="3" fontId="6" fillId="5" borderId="0" xfId="0" applyNumberFormat="1" applyFont="1" applyFill="1"/>
    <xf numFmtId="3" fontId="0" fillId="5" borderId="0" xfId="0" applyNumberFormat="1" applyFill="1"/>
    <xf numFmtId="168" fontId="6" fillId="5" borderId="0" xfId="0" applyNumberFormat="1" applyFont="1" applyFill="1"/>
    <xf numFmtId="168" fontId="6" fillId="5" borderId="5" xfId="1" applyNumberFormat="1" applyFont="1" applyFill="1" applyBorder="1"/>
    <xf numFmtId="168" fontId="0" fillId="5" borderId="0" xfId="1" applyNumberFormat="1" applyFont="1" applyFill="1" applyBorder="1"/>
    <xf numFmtId="3" fontId="0" fillId="5" borderId="1" xfId="0" applyNumberFormat="1" applyFill="1" applyBorder="1"/>
    <xf numFmtId="168" fontId="5" fillId="5" borderId="0" xfId="0" applyNumberFormat="1" applyFont="1" applyFill="1"/>
    <xf numFmtId="49" fontId="16" fillId="5" borderId="3" xfId="0" applyNumberFormat="1" applyFont="1" applyFill="1" applyBorder="1" applyAlignment="1">
      <alignment horizontal="center"/>
    </xf>
    <xf numFmtId="168" fontId="0" fillId="5" borderId="0" xfId="1" quotePrefix="1" applyNumberFormat="1" applyFont="1" applyFill="1"/>
    <xf numFmtId="171" fontId="0" fillId="5" borderId="0" xfId="0" applyNumberFormat="1" applyFill="1"/>
    <xf numFmtId="168" fontId="0" fillId="5" borderId="0" xfId="1" applyNumberFormat="1" applyFont="1" applyFill="1" applyBorder="1" applyAlignment="1">
      <alignment horizontal="right"/>
    </xf>
    <xf numFmtId="168" fontId="6" fillId="5" borderId="4" xfId="1" applyNumberFormat="1" applyFont="1" applyFill="1" applyBorder="1"/>
    <xf numFmtId="168" fontId="4" fillId="5" borderId="1" xfId="1" applyNumberFormat="1" applyFont="1" applyFill="1" applyBorder="1"/>
    <xf numFmtId="168" fontId="0" fillId="5" borderId="5" xfId="1" applyNumberFormat="1" applyFont="1" applyFill="1" applyBorder="1"/>
    <xf numFmtId="37" fontId="0" fillId="5" borderId="0" xfId="1" applyNumberFormat="1" applyFont="1" applyFill="1"/>
    <xf numFmtId="168" fontId="6" fillId="5" borderId="0" xfId="1" applyNumberFormat="1" applyFont="1" applyFill="1" applyBorder="1"/>
    <xf numFmtId="37" fontId="4" fillId="5" borderId="0" xfId="1" applyNumberFormat="1" applyFont="1" applyFill="1"/>
    <xf numFmtId="168" fontId="12" fillId="5" borderId="5" xfId="1" applyNumberFormat="1" applyFont="1" applyFill="1" applyBorder="1"/>
    <xf numFmtId="0" fontId="3" fillId="0" borderId="0" xfId="0" applyFont="1" applyAlignment="1">
      <alignment horizontal="right"/>
    </xf>
    <xf numFmtId="9" fontId="0" fillId="0" borderId="0" xfId="2" applyFont="1" applyFill="1"/>
    <xf numFmtId="9" fontId="0" fillId="0" borderId="5" xfId="2" applyFont="1" applyBorder="1"/>
    <xf numFmtId="0" fontId="29" fillId="0" borderId="0" xfId="0" applyFont="1"/>
    <xf numFmtId="168" fontId="0" fillId="0" borderId="0" xfId="0" applyNumberFormat="1" applyFill="1" applyBorder="1"/>
    <xf numFmtId="9" fontId="0" fillId="0" borderId="0" xfId="2" applyFont="1" applyFill="1" applyBorder="1"/>
    <xf numFmtId="9" fontId="0" fillId="0" borderId="5" xfId="2" applyFont="1" applyFill="1" applyBorder="1"/>
    <xf numFmtId="0" fontId="16" fillId="0" borderId="0" xfId="0" quotePrefix="1" applyFont="1"/>
    <xf numFmtId="0" fontId="16" fillId="0" borderId="0" xfId="0" applyFont="1"/>
    <xf numFmtId="3" fontId="23" fillId="0" borderId="2" xfId="1" applyNumberFormat="1" applyFont="1" applyFill="1" applyBorder="1"/>
    <xf numFmtId="0" fontId="17" fillId="0" borderId="0" xfId="0" applyFont="1" applyFill="1"/>
    <xf numFmtId="168" fontId="2" fillId="0" borderId="0" xfId="1" applyNumberFormat="1" applyFont="1"/>
    <xf numFmtId="3" fontId="0" fillId="2" borderId="1" xfId="0" applyNumberFormat="1" applyFill="1" applyBorder="1"/>
    <xf numFmtId="165" fontId="5" fillId="0" borderId="0" xfId="1" applyNumberFormat="1" applyFont="1" applyFill="1"/>
    <xf numFmtId="168" fontId="24" fillId="6" borderId="0" xfId="1" applyNumberFormat="1" applyFont="1" applyFill="1"/>
    <xf numFmtId="168" fontId="24" fillId="6" borderId="0" xfId="0" applyNumberFormat="1" applyFont="1" applyFill="1"/>
    <xf numFmtId="168" fontId="2" fillId="0" borderId="0" xfId="1" applyNumberFormat="1" applyFont="1" applyFill="1"/>
    <xf numFmtId="168" fontId="2" fillId="5" borderId="0" xfId="1" applyNumberFormat="1" applyFont="1" applyFill="1"/>
    <xf numFmtId="0" fontId="4" fillId="0" borderId="0" xfId="0" applyFont="1" applyFill="1"/>
    <xf numFmtId="0" fontId="0" fillId="7" borderId="0" xfId="0" applyFill="1"/>
    <xf numFmtId="0" fontId="2" fillId="7" borderId="0" xfId="0" applyFont="1" applyFill="1"/>
    <xf numFmtId="168" fontId="2" fillId="7" borderId="2" xfId="1" applyNumberFormat="1" applyFont="1" applyFill="1" applyBorder="1"/>
    <xf numFmtId="0" fontId="3" fillId="7" borderId="3" xfId="0" applyFont="1" applyFill="1" applyBorder="1" applyAlignment="1">
      <alignment horizontal="center"/>
    </xf>
    <xf numFmtId="0" fontId="38" fillId="0" borderId="0" xfId="0" applyFont="1"/>
    <xf numFmtId="0" fontId="39" fillId="2" borderId="0" xfId="0" applyFont="1" applyFill="1" applyAlignment="1">
      <alignment horizontal="center"/>
    </xf>
    <xf numFmtId="0" fontId="39" fillId="5" borderId="0" xfId="0" applyFont="1" applyFill="1" applyAlignment="1">
      <alignment horizontal="center"/>
    </xf>
    <xf numFmtId="0" fontId="4" fillId="2" borderId="0" xfId="0" applyFont="1" applyFill="1"/>
    <xf numFmtId="168" fontId="18" fillId="0" borderId="0" xfId="1" applyNumberFormat="1" applyFont="1" applyFill="1"/>
    <xf numFmtId="168" fontId="37" fillId="0" borderId="0" xfId="0" applyNumberFormat="1" applyFont="1" applyFill="1"/>
    <xf numFmtId="0" fontId="17" fillId="0" borderId="0" xfId="0" applyFont="1"/>
    <xf numFmtId="168" fontId="14" fillId="8" borderId="0" xfId="1" applyNumberFormat="1" applyFont="1" applyFill="1"/>
    <xf numFmtId="0" fontId="0" fillId="0" borderId="0" xfId="0" applyAlignment="1">
      <alignment wrapText="1"/>
    </xf>
    <xf numFmtId="166" fontId="4" fillId="0" borderId="2" xfId="2" applyNumberFormat="1" applyFont="1" applyFill="1" applyBorder="1"/>
    <xf numFmtId="0" fontId="4" fillId="7" borderId="0" xfId="0" applyFont="1" applyFill="1"/>
    <xf numFmtId="168" fontId="5" fillId="7" borderId="0" xfId="1" applyNumberFormat="1" applyFont="1" applyFill="1"/>
    <xf numFmtId="0" fontId="3" fillId="7" borderId="0" xfId="0" applyFont="1" applyFill="1" applyAlignment="1">
      <alignment horizontal="center"/>
    </xf>
    <xf numFmtId="168" fontId="4" fillId="0" borderId="0" xfId="0" applyNumberFormat="1" applyFont="1" applyFill="1"/>
    <xf numFmtId="0" fontId="39" fillId="7" borderId="0" xfId="0" applyFont="1" applyFill="1" applyAlignment="1">
      <alignment horizontal="center"/>
    </xf>
    <xf numFmtId="0" fontId="0" fillId="9" borderId="0" xfId="0" applyFill="1"/>
    <xf numFmtId="0" fontId="39" fillId="9" borderId="0" xfId="0" applyFont="1" applyFill="1" applyAlignment="1">
      <alignment horizontal="center"/>
    </xf>
    <xf numFmtId="0" fontId="16" fillId="9" borderId="3" xfId="0" applyFont="1" applyFill="1" applyBorder="1" applyAlignment="1">
      <alignment horizontal="center"/>
    </xf>
    <xf numFmtId="0" fontId="4" fillId="9" borderId="0" xfId="0" applyFont="1" applyFill="1"/>
    <xf numFmtId="0" fontId="2" fillId="9" borderId="0" xfId="0" applyFont="1" applyFill="1"/>
    <xf numFmtId="168" fontId="2" fillId="9" borderId="2" xfId="1" applyNumberFormat="1" applyFont="1" applyFill="1" applyBorder="1"/>
    <xf numFmtId="168" fontId="5" fillId="9" borderId="0" xfId="1" applyNumberFormat="1" applyFont="1" applyFill="1"/>
    <xf numFmtId="0" fontId="3" fillId="9" borderId="0" xfId="0" applyFont="1" applyFill="1" applyAlignment="1">
      <alignment horizontal="center"/>
    </xf>
    <xf numFmtId="0" fontId="2" fillId="0" borderId="0" xfId="0" applyFont="1"/>
    <xf numFmtId="171" fontId="4" fillId="0" borderId="0" xfId="1" applyNumberFormat="1" applyFont="1" applyFill="1"/>
    <xf numFmtId="171" fontId="5" fillId="0" borderId="4" xfId="1" applyNumberFormat="1" applyFont="1" applyFill="1" applyBorder="1"/>
    <xf numFmtId="17" fontId="3" fillId="0" borderId="0" xfId="0" quotePrefix="1" applyNumberFormat="1" applyFont="1" applyFill="1" applyAlignment="1">
      <alignment horizontal="right"/>
    </xf>
    <xf numFmtId="0" fontId="3" fillId="0" borderId="0" xfId="0" applyFont="1" applyFill="1" applyAlignment="1">
      <alignment horizontal="right"/>
    </xf>
    <xf numFmtId="0" fontId="39" fillId="10" borderId="0" xfId="0" applyFont="1" applyFill="1" applyAlignment="1">
      <alignment horizontal="center"/>
    </xf>
    <xf numFmtId="0" fontId="0" fillId="10" borderId="0" xfId="0" applyFill="1"/>
    <xf numFmtId="0" fontId="39" fillId="0" borderId="0" xfId="0" applyFont="1" applyFill="1" applyAlignment="1">
      <alignment horizontal="center"/>
    </xf>
    <xf numFmtId="171" fontId="5" fillId="0" borderId="0" xfId="1" applyNumberFormat="1" applyFont="1" applyFill="1"/>
    <xf numFmtId="170" fontId="4" fillId="0" borderId="2" xfId="1" applyNumberFormat="1" applyFont="1" applyFill="1" applyBorder="1"/>
    <xf numFmtId="0" fontId="3" fillId="10" borderId="3" xfId="0" applyFont="1" applyFill="1" applyBorder="1" applyAlignment="1">
      <alignment horizontal="center"/>
    </xf>
    <xf numFmtId="168" fontId="5" fillId="10" borderId="0" xfId="1" applyNumberFormat="1" applyFont="1" applyFill="1"/>
    <xf numFmtId="168" fontId="4" fillId="10" borderId="0" xfId="1" applyNumberFormat="1" applyFont="1" applyFill="1"/>
    <xf numFmtId="168" fontId="0" fillId="10" borderId="0" xfId="1" applyNumberFormat="1" applyFont="1" applyFill="1"/>
    <xf numFmtId="168" fontId="0" fillId="10" borderId="1" xfId="1" applyNumberFormat="1" applyFont="1" applyFill="1" applyBorder="1"/>
    <xf numFmtId="168" fontId="7" fillId="10" borderId="4" xfId="1" applyNumberFormat="1" applyFont="1" applyFill="1" applyBorder="1"/>
    <xf numFmtId="168" fontId="0" fillId="10" borderId="0" xfId="1" applyNumberFormat="1" applyFont="1" applyFill="1" applyAlignment="1">
      <alignment horizontal="right"/>
    </xf>
    <xf numFmtId="168" fontId="0" fillId="10" borderId="0" xfId="0" applyNumberFormat="1" applyFill="1"/>
    <xf numFmtId="168" fontId="0" fillId="10" borderId="1" xfId="1" applyNumberFormat="1" applyFont="1" applyFill="1" applyBorder="1" applyAlignment="1">
      <alignment horizontal="right"/>
    </xf>
    <xf numFmtId="168" fontId="7" fillId="10" borderId="8" xfId="0" applyNumberFormat="1" applyFont="1" applyFill="1" applyBorder="1"/>
    <xf numFmtId="0" fontId="0" fillId="10" borderId="1" xfId="0" applyFill="1" applyBorder="1"/>
    <xf numFmtId="168" fontId="7" fillId="10" borderId="0" xfId="1" applyNumberFormat="1" applyFont="1" applyFill="1"/>
    <xf numFmtId="168" fontId="7" fillId="10" borderId="0" xfId="1" applyNumberFormat="1" applyFont="1" applyFill="1" applyBorder="1"/>
    <xf numFmtId="168" fontId="7" fillId="10" borderId="4" xfId="0" applyNumberFormat="1" applyFont="1" applyFill="1" applyBorder="1"/>
    <xf numFmtId="168" fontId="0" fillId="10" borderId="1" xfId="0" applyNumberFormat="1" applyFill="1" applyBorder="1"/>
    <xf numFmtId="168" fontId="6" fillId="10" borderId="5" xfId="0" applyNumberFormat="1" applyFont="1" applyFill="1" applyBorder="1"/>
    <xf numFmtId="168" fontId="0" fillId="10" borderId="5" xfId="0" applyNumberFormat="1" applyFill="1" applyBorder="1"/>
    <xf numFmtId="168" fontId="3" fillId="10" borderId="5" xfId="0" applyNumberFormat="1" applyFont="1" applyFill="1" applyBorder="1"/>
    <xf numFmtId="168" fontId="32" fillId="0" borderId="0" xfId="1" applyNumberFormat="1" applyFont="1" applyFill="1"/>
    <xf numFmtId="168" fontId="5" fillId="10" borderId="4" xfId="1" applyNumberFormat="1" applyFont="1" applyFill="1" applyBorder="1"/>
    <xf numFmtId="167" fontId="0" fillId="10" borderId="0" xfId="1" applyNumberFormat="1" applyFont="1" applyFill="1"/>
    <xf numFmtId="168" fontId="6" fillId="10" borderId="4" xfId="0" applyNumberFormat="1" applyFont="1" applyFill="1" applyBorder="1"/>
    <xf numFmtId="168" fontId="40" fillId="0" borderId="0" xfId="0" applyNumberFormat="1" applyFont="1" applyFill="1"/>
    <xf numFmtId="168" fontId="2" fillId="0" borderId="0" xfId="0" applyNumberFormat="1" applyFont="1" applyFill="1"/>
    <xf numFmtId="168" fontId="6" fillId="10" borderId="5" xfId="1" applyNumberFormat="1" applyFont="1" applyFill="1" applyBorder="1"/>
    <xf numFmtId="168" fontId="0" fillId="10" borderId="0" xfId="1" applyNumberFormat="1" applyFont="1" applyFill="1" applyBorder="1"/>
    <xf numFmtId="3" fontId="0" fillId="10" borderId="1" xfId="0" applyNumberFormat="1" applyFill="1" applyBorder="1"/>
    <xf numFmtId="168" fontId="5" fillId="10" borderId="0" xfId="0" applyNumberFormat="1" applyFont="1" applyFill="1"/>
    <xf numFmtId="49" fontId="3" fillId="10" borderId="3" xfId="0" applyNumberFormat="1" applyFont="1" applyFill="1" applyBorder="1" applyAlignment="1">
      <alignment horizontal="center"/>
    </xf>
    <xf numFmtId="168" fontId="0" fillId="10" borderId="0" xfId="1" quotePrefix="1" applyNumberFormat="1" applyFont="1" applyFill="1"/>
    <xf numFmtId="171" fontId="0" fillId="10" borderId="0" xfId="0" applyNumberFormat="1" applyFill="1"/>
    <xf numFmtId="172" fontId="14" fillId="0" borderId="5" xfId="0" applyNumberFormat="1" applyFont="1" applyFill="1" applyBorder="1"/>
    <xf numFmtId="168" fontId="0" fillId="10" borderId="0" xfId="1" applyNumberFormat="1" applyFont="1" applyFill="1" applyBorder="1" applyAlignment="1">
      <alignment horizontal="right"/>
    </xf>
    <xf numFmtId="168" fontId="6" fillId="10" borderId="4" xfId="1" applyNumberFormat="1" applyFont="1" applyFill="1" applyBorder="1"/>
    <xf numFmtId="168" fontId="4" fillId="10" borderId="1" xfId="1" applyNumberFormat="1" applyFont="1" applyFill="1" applyBorder="1"/>
    <xf numFmtId="168" fontId="0" fillId="10" borderId="5" xfId="1" applyNumberFormat="1" applyFont="1" applyFill="1" applyBorder="1"/>
    <xf numFmtId="37" fontId="0" fillId="10" borderId="0" xfId="1" applyNumberFormat="1" applyFont="1" applyFill="1"/>
    <xf numFmtId="168" fontId="6" fillId="10" borderId="0" xfId="1" applyNumberFormat="1" applyFont="1" applyFill="1" applyBorder="1"/>
    <xf numFmtId="168" fontId="12" fillId="10" borderId="5" xfId="1" applyNumberFormat="1" applyFont="1" applyFill="1" applyBorder="1"/>
    <xf numFmtId="168" fontId="14" fillId="0" borderId="0" xfId="1" applyNumberFormat="1" applyFont="1" applyFill="1"/>
    <xf numFmtId="168" fontId="3" fillId="0" borderId="0" xfId="0" applyNumberFormat="1" applyFont="1" applyFill="1"/>
    <xf numFmtId="0" fontId="42" fillId="7" borderId="0" xfId="0" applyFont="1" applyFill="1"/>
    <xf numFmtId="0" fontId="42" fillId="9" borderId="0" xfId="0" applyFont="1" applyFill="1"/>
    <xf numFmtId="168" fontId="45" fillId="10" borderId="0" xfId="0" applyNumberFormat="1" applyFont="1" applyFill="1"/>
    <xf numFmtId="168" fontId="45" fillId="2" borderId="0" xfId="0" applyNumberFormat="1" applyFont="1" applyFill="1"/>
    <xf numFmtId="168" fontId="45" fillId="5" borderId="0" xfId="0" applyNumberFormat="1" applyFont="1" applyFill="1"/>
    <xf numFmtId="168" fontId="45" fillId="0" borderId="0" xfId="0" applyNumberFormat="1" applyFont="1" applyFill="1"/>
    <xf numFmtId="0" fontId="44" fillId="0" borderId="0" xfId="0" applyFont="1"/>
    <xf numFmtId="0" fontId="0" fillId="12" borderId="0" xfId="0" applyFill="1"/>
    <xf numFmtId="168" fontId="0" fillId="12" borderId="0" xfId="0" applyNumberFormat="1" applyFill="1"/>
    <xf numFmtId="0" fontId="2" fillId="0" borderId="0" xfId="0" applyFont="1" applyAlignment="1">
      <alignment horizontal="center"/>
    </xf>
    <xf numFmtId="168" fontId="44" fillId="0" borderId="0" xfId="1" applyNumberFormat="1" applyFont="1"/>
    <xf numFmtId="168" fontId="44" fillId="2" borderId="0" xfId="1" applyNumberFormat="1" applyFont="1" applyFill="1"/>
    <xf numFmtId="0" fontId="44" fillId="2" borderId="0" xfId="0" applyFont="1" applyFill="1"/>
    <xf numFmtId="168" fontId="44" fillId="2" borderId="0" xfId="0" applyNumberFormat="1" applyFont="1" applyFill="1"/>
    <xf numFmtId="168" fontId="0" fillId="13" borderId="0" xfId="1" applyNumberFormat="1" applyFont="1" applyFill="1"/>
    <xf numFmtId="0" fontId="0" fillId="13" borderId="0" xfId="0" applyFill="1"/>
    <xf numFmtId="168" fontId="0" fillId="13" borderId="0" xfId="0" applyNumberFormat="1" applyFill="1"/>
    <xf numFmtId="168" fontId="40" fillId="13" borderId="0" xfId="0" applyNumberFormat="1" applyFont="1" applyFill="1"/>
    <xf numFmtId="168" fontId="18" fillId="13" borderId="0" xfId="1" applyNumberFormat="1" applyFont="1" applyFill="1" applyAlignment="1">
      <alignment horizontal="right"/>
    </xf>
    <xf numFmtId="166" fontId="2" fillId="0" borderId="0" xfId="2" applyNumberFormat="1" applyFont="1"/>
    <xf numFmtId="168" fontId="47" fillId="2" borderId="0" xfId="0" applyNumberFormat="1" applyFont="1" applyFill="1"/>
    <xf numFmtId="168" fontId="2" fillId="2" borderId="0" xfId="0" applyNumberFormat="1" applyFont="1" applyFill="1"/>
    <xf numFmtId="168" fontId="37" fillId="13" borderId="0" xfId="0" applyNumberFormat="1" applyFont="1" applyFill="1"/>
    <xf numFmtId="166" fontId="37" fillId="0" borderId="1" xfId="2" applyNumberFormat="1" applyFont="1" applyFill="1" applyBorder="1"/>
    <xf numFmtId="168" fontId="41" fillId="2" borderId="0" xfId="0" applyNumberFormat="1" applyFont="1" applyFill="1"/>
    <xf numFmtId="168" fontId="41" fillId="5" borderId="0" xfId="0" applyNumberFormat="1" applyFont="1" applyFill="1"/>
    <xf numFmtId="168" fontId="41" fillId="0" borderId="0" xfId="0" applyNumberFormat="1" applyFont="1" applyFill="1"/>
    <xf numFmtId="168" fontId="3" fillId="0" borderId="10" xfId="1" applyNumberFormat="1" applyFont="1" applyFill="1" applyBorder="1"/>
    <xf numFmtId="168" fontId="3" fillId="0" borderId="20" xfId="0" applyNumberFormat="1" applyFont="1" applyFill="1" applyBorder="1"/>
    <xf numFmtId="168" fontId="3" fillId="0" borderId="4" xfId="0" applyNumberFormat="1" applyFont="1" applyFill="1" applyBorder="1"/>
    <xf numFmtId="168" fontId="3" fillId="0" borderId="9" xfId="0" applyNumberFormat="1" applyFont="1" applyFill="1" applyBorder="1"/>
    <xf numFmtId="1" fontId="3" fillId="0" borderId="0" xfId="44" applyNumberFormat="1" applyFont="1" applyAlignment="1">
      <alignment horizontal="left"/>
    </xf>
    <xf numFmtId="3" fontId="2" fillId="10" borderId="0" xfId="44" applyNumberFormat="1" applyFill="1"/>
    <xf numFmtId="168" fontId="30" fillId="0" borderId="0" xfId="1" applyNumberFormat="1" applyFont="1" applyFill="1"/>
    <xf numFmtId="3" fontId="2" fillId="0" borderId="0" xfId="44" applyNumberFormat="1" applyFill="1"/>
    <xf numFmtId="3" fontId="2" fillId="0" borderId="0" xfId="44" applyNumberFormat="1"/>
    <xf numFmtId="173" fontId="2" fillId="0" borderId="0" xfId="44" applyNumberFormat="1"/>
    <xf numFmtId="168" fontId="34" fillId="0" borderId="0" xfId="1" applyNumberFormat="1" applyFont="1" applyFill="1"/>
    <xf numFmtId="3" fontId="3" fillId="10" borderId="0" xfId="44" applyNumberFormat="1" applyFont="1" applyFill="1" applyAlignment="1">
      <alignment horizontal="center"/>
    </xf>
    <xf numFmtId="1" fontId="2" fillId="0" borderId="0" xfId="44" applyNumberFormat="1" applyFont="1" applyAlignment="1">
      <alignment horizontal="left"/>
    </xf>
    <xf numFmtId="3" fontId="2" fillId="0" borderId="0" xfId="44" applyNumberFormat="1" applyFont="1" applyFill="1"/>
    <xf numFmtId="1" fontId="49" fillId="0" borderId="1" xfId="44" applyNumberFormat="1" applyFont="1" applyBorder="1" applyAlignment="1">
      <alignment horizontal="center"/>
    </xf>
    <xf numFmtId="3" fontId="3" fillId="0" borderId="0" xfId="44" applyNumberFormat="1" applyFont="1" applyFill="1" applyAlignment="1">
      <alignment horizontal="center"/>
    </xf>
    <xf numFmtId="3" fontId="66" fillId="10" borderId="0" xfId="44" applyNumberFormat="1" applyFont="1" applyFill="1"/>
    <xf numFmtId="173" fontId="2" fillId="0" borderId="0" xfId="44" applyNumberFormat="1" applyFont="1" applyFill="1"/>
    <xf numFmtId="1" fontId="3" fillId="10" borderId="1" xfId="44" applyNumberFormat="1" applyFont="1" applyFill="1" applyBorder="1" applyAlignment="1">
      <alignment horizontal="center"/>
    </xf>
    <xf numFmtId="3" fontId="3" fillId="0" borderId="0" xfId="44" applyNumberFormat="1" applyFont="1" applyAlignment="1">
      <alignment horizontal="center"/>
    </xf>
    <xf numFmtId="3" fontId="44" fillId="10" borderId="0" xfId="44" applyNumberFormat="1" applyFont="1" applyFill="1"/>
    <xf numFmtId="1" fontId="2" fillId="0" borderId="0" xfId="44" applyNumberFormat="1" applyFill="1" applyAlignment="1">
      <alignment horizontal="left"/>
    </xf>
    <xf numFmtId="1" fontId="3" fillId="0" borderId="1" xfId="44" applyNumberFormat="1" applyFont="1" applyFill="1" applyBorder="1" applyAlignment="1">
      <alignment horizontal="center"/>
    </xf>
    <xf numFmtId="173" fontId="3" fillId="0" borderId="0" xfId="44" applyNumberFormat="1" applyFont="1" applyAlignment="1">
      <alignment horizontal="center"/>
    </xf>
    <xf numFmtId="173" fontId="2" fillId="10" borderId="0" xfId="44" applyNumberFormat="1" applyFill="1"/>
    <xf numFmtId="173" fontId="2" fillId="0" borderId="0" xfId="44" applyNumberFormat="1" applyFont="1"/>
    <xf numFmtId="174" fontId="3" fillId="0" borderId="1" xfId="44" applyNumberFormat="1" applyFont="1" applyBorder="1" applyAlignment="1">
      <alignment horizontal="center"/>
    </xf>
    <xf numFmtId="1" fontId="3" fillId="0" borderId="0" xfId="44" applyNumberFormat="1" applyFont="1" applyAlignment="1">
      <alignment horizontal="center"/>
    </xf>
    <xf numFmtId="173" fontId="2" fillId="14" borderId="0" xfId="44" applyNumberFormat="1" applyFill="1"/>
    <xf numFmtId="173" fontId="2" fillId="0" borderId="0" xfId="44" applyNumberFormat="1" applyFill="1"/>
    <xf numFmtId="173" fontId="3" fillId="0" borderId="1" xfId="44" applyNumberFormat="1" applyFont="1" applyBorder="1" applyAlignment="1">
      <alignment horizontal="center"/>
    </xf>
    <xf numFmtId="1" fontId="2" fillId="0" borderId="0" xfId="44" applyNumberFormat="1" applyAlignment="1">
      <alignment horizontal="left"/>
    </xf>
    <xf numFmtId="1" fontId="2" fillId="10" borderId="0" xfId="44" applyNumberFormat="1" applyFill="1" applyAlignment="1">
      <alignment horizontal="left"/>
    </xf>
    <xf numFmtId="1" fontId="3" fillId="0" borderId="1" xfId="44" applyNumberFormat="1" applyFont="1" applyBorder="1" applyAlignment="1">
      <alignment horizontal="center"/>
    </xf>
    <xf numFmtId="0" fontId="67" fillId="0" borderId="0" xfId="46"/>
    <xf numFmtId="0" fontId="68" fillId="0" borderId="0" xfId="46" applyFont="1"/>
    <xf numFmtId="0" fontId="68" fillId="0" borderId="0" xfId="46" applyFont="1" applyAlignment="1">
      <alignment horizontal="center"/>
    </xf>
    <xf numFmtId="0" fontId="67" fillId="0" borderId="0" xfId="46" quotePrefix="1" applyAlignment="1"/>
    <xf numFmtId="0" fontId="67" fillId="0" borderId="0" xfId="46" applyAlignment="1"/>
    <xf numFmtId="0" fontId="67" fillId="0" borderId="0" xfId="46" applyFill="1"/>
    <xf numFmtId="168" fontId="67" fillId="0" borderId="0" xfId="47" applyNumberFormat="1" applyFont="1" applyFill="1"/>
    <xf numFmtId="16" fontId="67" fillId="0" borderId="0" xfId="46" applyNumberFormat="1"/>
    <xf numFmtId="168" fontId="67" fillId="0" borderId="0" xfId="47" applyNumberFormat="1" applyFont="1"/>
    <xf numFmtId="0" fontId="67" fillId="0" borderId="0" xfId="46" applyAlignment="1">
      <alignment horizontal="center"/>
    </xf>
    <xf numFmtId="168" fontId="67" fillId="0" borderId="1" xfId="47" applyNumberFormat="1" applyFont="1" applyFill="1" applyBorder="1"/>
    <xf numFmtId="10" fontId="67" fillId="0" borderId="0" xfId="2" applyNumberFormat="1" applyFont="1" applyFill="1"/>
    <xf numFmtId="168" fontId="67" fillId="0" borderId="0" xfId="47" applyNumberFormat="1" applyFont="1" applyAlignment="1">
      <alignment horizontal="center"/>
    </xf>
    <xf numFmtId="0" fontId="16" fillId="0" borderId="0" xfId="0" quotePrefix="1" applyFont="1" applyFill="1"/>
    <xf numFmtId="0" fontId="2" fillId="0" borderId="0" xfId="0" applyFont="1" applyFill="1" applyAlignment="1"/>
    <xf numFmtId="0" fontId="0" fillId="0" borderId="0" xfId="0" applyFill="1" applyAlignment="1"/>
    <xf numFmtId="0" fontId="2" fillId="46" borderId="0" xfId="0" applyFont="1" applyFill="1"/>
    <xf numFmtId="0" fontId="39" fillId="46" borderId="0" xfId="0" applyFont="1" applyFill="1" applyAlignment="1">
      <alignment horizontal="center"/>
    </xf>
    <xf numFmtId="0" fontId="22" fillId="46" borderId="3" xfId="0" applyFont="1" applyFill="1" applyBorder="1" applyAlignment="1">
      <alignment horizontal="center"/>
    </xf>
    <xf numFmtId="0" fontId="23" fillId="46" borderId="0" xfId="0" applyFont="1" applyFill="1"/>
    <xf numFmtId="0" fontId="0" fillId="46" borderId="0" xfId="0" applyFill="1"/>
    <xf numFmtId="166" fontId="44" fillId="0" borderId="9" xfId="2" applyNumberFormat="1" applyFont="1" applyFill="1" applyBorder="1"/>
    <xf numFmtId="0" fontId="44" fillId="0" borderId="0" xfId="0" applyFont="1" applyFill="1"/>
    <xf numFmtId="168" fontId="44" fillId="0" borderId="2" xfId="1" applyNumberFormat="1" applyFont="1" applyFill="1" applyBorder="1"/>
    <xf numFmtId="168" fontId="44" fillId="0" borderId="9" xfId="1" applyNumberFormat="1" applyFont="1" applyFill="1" applyBorder="1"/>
    <xf numFmtId="3" fontId="44" fillId="0" borderId="2" xfId="0" applyNumberFormat="1" applyFont="1" applyFill="1" applyBorder="1"/>
    <xf numFmtId="168" fontId="48" fillId="0" borderId="0" xfId="1" applyNumberFormat="1" applyFont="1" applyFill="1"/>
    <xf numFmtId="168" fontId="44" fillId="0" borderId="0" xfId="1" applyNumberFormat="1" applyFont="1" applyFill="1"/>
    <xf numFmtId="170" fontId="48" fillId="0" borderId="2" xfId="1" applyNumberFormat="1" applyFont="1" applyFill="1" applyBorder="1"/>
    <xf numFmtId="0" fontId="49" fillId="0" borderId="0" xfId="0" applyFont="1" applyFill="1" applyAlignment="1">
      <alignment horizontal="center"/>
    </xf>
    <xf numFmtId="0" fontId="42" fillId="46" borderId="0" xfId="0" applyFont="1" applyFill="1"/>
    <xf numFmtId="0" fontId="3" fillId="46" borderId="3" xfId="0" applyFont="1" applyFill="1" applyBorder="1" applyAlignment="1">
      <alignment horizontal="center"/>
    </xf>
    <xf numFmtId="0" fontId="4" fillId="46" borderId="0" xfId="0" applyFont="1" applyFill="1"/>
    <xf numFmtId="168" fontId="2" fillId="46" borderId="2" xfId="1" applyNumberFormat="1" applyFont="1" applyFill="1" applyBorder="1"/>
    <xf numFmtId="168" fontId="5" fillId="46" borderId="0" xfId="1" applyNumberFormat="1" applyFont="1" applyFill="1"/>
    <xf numFmtId="0" fontId="3" fillId="46" borderId="0" xfId="0" applyFont="1" applyFill="1" applyAlignment="1">
      <alignment horizontal="center"/>
    </xf>
    <xf numFmtId="0" fontId="43" fillId="0" borderId="0" xfId="0" applyFont="1" applyFill="1"/>
    <xf numFmtId="168" fontId="0" fillId="46" borderId="0" xfId="1" applyNumberFormat="1" applyFont="1" applyFill="1"/>
    <xf numFmtId="168" fontId="0" fillId="46" borderId="1" xfId="1" applyNumberFormat="1" applyFont="1" applyFill="1" applyBorder="1"/>
    <xf numFmtId="166" fontId="0" fillId="46" borderId="1" xfId="2" applyNumberFormat="1" applyFont="1" applyFill="1" applyBorder="1"/>
    <xf numFmtId="168" fontId="7" fillId="46" borderId="4" xfId="1" applyNumberFormat="1" applyFont="1" applyFill="1" applyBorder="1"/>
    <xf numFmtId="168" fontId="0" fillId="46" borderId="0" xfId="1" applyNumberFormat="1" applyFont="1" applyFill="1" applyAlignment="1">
      <alignment horizontal="right"/>
    </xf>
    <xf numFmtId="168" fontId="0" fillId="46" borderId="0" xfId="0" applyNumberFormat="1" applyFill="1"/>
    <xf numFmtId="168" fontId="0" fillId="46" borderId="1" xfId="1" applyNumberFormat="1" applyFont="1" applyFill="1" applyBorder="1" applyAlignment="1">
      <alignment horizontal="right"/>
    </xf>
    <xf numFmtId="168" fontId="14" fillId="46" borderId="5" xfId="0" applyNumberFormat="1" applyFont="1" applyFill="1" applyBorder="1"/>
    <xf numFmtId="0" fontId="0" fillId="47" borderId="0" xfId="0" applyFill="1"/>
    <xf numFmtId="0" fontId="39" fillId="47" borderId="0" xfId="0" applyFont="1" applyFill="1" applyAlignment="1">
      <alignment horizontal="center"/>
    </xf>
    <xf numFmtId="0" fontId="3" fillId="47" borderId="3" xfId="0" applyFont="1" applyFill="1" applyBorder="1" applyAlignment="1">
      <alignment horizontal="center"/>
    </xf>
    <xf numFmtId="168" fontId="0" fillId="47" borderId="0" xfId="1" applyNumberFormat="1" applyFont="1" applyFill="1"/>
    <xf numFmtId="168" fontId="0" fillId="47" borderId="1" xfId="1" applyNumberFormat="1" applyFont="1" applyFill="1" applyBorder="1"/>
    <xf numFmtId="168" fontId="5" fillId="47" borderId="0" xfId="1" applyNumberFormat="1" applyFont="1" applyFill="1"/>
    <xf numFmtId="166" fontId="0" fillId="47" borderId="1" xfId="2" applyNumberFormat="1" applyFont="1" applyFill="1" applyBorder="1"/>
    <xf numFmtId="168" fontId="7" fillId="47" borderId="4" xfId="1" applyNumberFormat="1" applyFont="1" applyFill="1" applyBorder="1"/>
    <xf numFmtId="168" fontId="7" fillId="0" borderId="0" xfId="1" applyNumberFormat="1" applyFont="1" applyFill="1"/>
    <xf numFmtId="168" fontId="71" fillId="2" borderId="0" xfId="0" applyNumberFormat="1" applyFont="1" applyFill="1"/>
    <xf numFmtId="0" fontId="0" fillId="14" borderId="0" xfId="0" applyFill="1"/>
    <xf numFmtId="168" fontId="0" fillId="14" borderId="0" xfId="0" applyNumberFormat="1" applyFill="1"/>
    <xf numFmtId="168" fontId="47" fillId="14" borderId="0" xfId="0" applyNumberFormat="1" applyFont="1" applyFill="1"/>
    <xf numFmtId="1" fontId="0" fillId="0" borderId="0" xfId="0" applyNumberFormat="1" applyFill="1"/>
    <xf numFmtId="1" fontId="47" fillId="0" borderId="0" xfId="0" applyNumberFormat="1" applyFont="1" applyFill="1"/>
    <xf numFmtId="168" fontId="44" fillId="0" borderId="0" xfId="1" applyNumberFormat="1" applyFont="1" applyBorder="1"/>
    <xf numFmtId="0" fontId="3" fillId="12" borderId="3" xfId="0" applyFont="1" applyFill="1" applyBorder="1" applyAlignment="1">
      <alignment horizontal="center"/>
    </xf>
    <xf numFmtId="168" fontId="0" fillId="12" borderId="0" xfId="1" applyNumberFormat="1" applyFont="1" applyFill="1"/>
    <xf numFmtId="168" fontId="0" fillId="12" borderId="1" xfId="1" applyNumberFormat="1" applyFont="1" applyFill="1" applyBorder="1"/>
    <xf numFmtId="168" fontId="5" fillId="12" borderId="4" xfId="1" applyNumberFormat="1" applyFont="1" applyFill="1" applyBorder="1"/>
    <xf numFmtId="168" fontId="3" fillId="12" borderId="3" xfId="1" applyNumberFormat="1" applyFont="1" applyFill="1" applyBorder="1" applyAlignment="1">
      <alignment horizontal="center"/>
    </xf>
    <xf numFmtId="168" fontId="5" fillId="12" borderId="0" xfId="1" applyNumberFormat="1" applyFont="1" applyFill="1" applyBorder="1"/>
    <xf numFmtId="168" fontId="0" fillId="12" borderId="1" xfId="1" applyNumberFormat="1" applyFont="1" applyFill="1" applyBorder="1" applyAlignment="1">
      <alignment horizontal="right"/>
    </xf>
    <xf numFmtId="168" fontId="4" fillId="12" borderId="0" xfId="1" applyNumberFormat="1" applyFont="1" applyFill="1"/>
    <xf numFmtId="3" fontId="6" fillId="12" borderId="0" xfId="0" applyNumberFormat="1" applyFont="1" applyFill="1"/>
    <xf numFmtId="3" fontId="0" fillId="12" borderId="0" xfId="0" applyNumberFormat="1" applyFill="1"/>
    <xf numFmtId="168" fontId="6" fillId="12" borderId="0" xfId="0" applyNumberFormat="1" applyFont="1" applyFill="1"/>
    <xf numFmtId="168" fontId="2" fillId="47" borderId="0" xfId="1" applyNumberFormat="1" applyFont="1" applyFill="1"/>
    <xf numFmtId="168" fontId="3" fillId="47" borderId="3" xfId="1" applyNumberFormat="1" applyFont="1" applyFill="1" applyBorder="1" applyAlignment="1">
      <alignment horizontal="center"/>
    </xf>
    <xf numFmtId="168" fontId="5" fillId="47" borderId="0" xfId="1" applyNumberFormat="1" applyFont="1" applyFill="1" applyBorder="1"/>
    <xf numFmtId="168" fontId="6" fillId="47" borderId="0" xfId="0" applyNumberFormat="1" applyFont="1" applyFill="1"/>
    <xf numFmtId="171" fontId="0" fillId="0" borderId="0" xfId="0" applyNumberFormat="1" applyFill="1"/>
    <xf numFmtId="0" fontId="71" fillId="46" borderId="0" xfId="0" applyFont="1" applyFill="1"/>
    <xf numFmtId="0" fontId="71" fillId="2" borderId="0" xfId="0" applyFont="1" applyFill="1"/>
    <xf numFmtId="0" fontId="71" fillId="5" borderId="0" xfId="0" applyFont="1" applyFill="1"/>
    <xf numFmtId="168" fontId="72" fillId="46" borderId="0" xfId="1" applyNumberFormat="1" applyFont="1" applyFill="1"/>
    <xf numFmtId="168" fontId="71" fillId="46" borderId="0" xfId="1" applyNumberFormat="1" applyFont="1" applyFill="1"/>
    <xf numFmtId="166" fontId="2" fillId="46" borderId="9" xfId="2" applyNumberFormat="1" applyFont="1" applyFill="1" applyBorder="1"/>
    <xf numFmtId="166" fontId="2" fillId="2" borderId="9" xfId="2" applyNumberFormat="1" applyFont="1" applyFill="1" applyBorder="1"/>
    <xf numFmtId="166" fontId="2" fillId="5" borderId="9" xfId="2" applyNumberFormat="1" applyFont="1" applyFill="1" applyBorder="1"/>
    <xf numFmtId="168" fontId="2" fillId="2" borderId="2" xfId="1" applyNumberFormat="1" applyFont="1" applyFill="1" applyBorder="1"/>
    <xf numFmtId="168" fontId="2" fillId="5" borderId="2" xfId="1" applyNumberFormat="1" applyFont="1" applyFill="1" applyBorder="1"/>
    <xf numFmtId="3" fontId="2" fillId="46" borderId="0" xfId="0" applyNumberFormat="1" applyFont="1" applyFill="1"/>
    <xf numFmtId="168" fontId="2" fillId="46" borderId="9" xfId="1" applyNumberFormat="1" applyFont="1" applyFill="1" applyBorder="1"/>
    <xf numFmtId="168" fontId="2" fillId="2" borderId="9" xfId="1" applyNumberFormat="1" applyFont="1" applyFill="1" applyBorder="1"/>
    <xf numFmtId="168" fontId="2" fillId="5" borderId="9" xfId="1" applyNumberFormat="1" applyFont="1" applyFill="1" applyBorder="1"/>
    <xf numFmtId="168" fontId="2" fillId="46" borderId="0" xfId="1" applyNumberFormat="1" applyFont="1" applyFill="1"/>
    <xf numFmtId="170" fontId="5" fillId="46" borderId="2" xfId="1" applyNumberFormat="1" applyFont="1" applyFill="1" applyBorder="1"/>
    <xf numFmtId="170" fontId="5" fillId="2" borderId="2" xfId="1" applyNumberFormat="1" applyFont="1" applyFill="1" applyBorder="1"/>
    <xf numFmtId="170" fontId="5" fillId="5" borderId="2" xfId="1" applyNumberFormat="1" applyFont="1" applyFill="1" applyBorder="1"/>
    <xf numFmtId="0" fontId="3" fillId="2" borderId="0" xfId="0" applyFont="1" applyFill="1" applyAlignment="1">
      <alignment horizontal="center"/>
    </xf>
    <xf numFmtId="0" fontId="3" fillId="5" borderId="0" xfId="0" applyFont="1" applyFill="1" applyAlignment="1">
      <alignment horizontal="center"/>
    </xf>
    <xf numFmtId="168" fontId="5" fillId="46" borderId="0" xfId="0" applyNumberFormat="1" applyFont="1" applyFill="1"/>
    <xf numFmtId="0" fontId="71" fillId="7" borderId="0" xfId="0" applyFont="1" applyFill="1"/>
    <xf numFmtId="0" fontId="71" fillId="9" borderId="0" xfId="0" applyFont="1" applyFill="1"/>
    <xf numFmtId="170" fontId="2" fillId="46" borderId="2" xfId="1" applyNumberFormat="1" applyFont="1" applyFill="1" applyBorder="1"/>
    <xf numFmtId="170" fontId="2" fillId="11" borderId="2" xfId="1" applyNumberFormat="1" applyFont="1" applyFill="1" applyBorder="1"/>
    <xf numFmtId="166" fontId="2" fillId="46" borderId="2" xfId="2" applyNumberFormat="1" applyFont="1" applyFill="1" applyBorder="1"/>
    <xf numFmtId="166" fontId="2" fillId="11" borderId="2" xfId="2" applyNumberFormat="1" applyFont="1" applyFill="1" applyBorder="1"/>
    <xf numFmtId="168" fontId="2" fillId="7" borderId="0" xfId="1" applyNumberFormat="1" applyFont="1" applyFill="1"/>
    <xf numFmtId="168" fontId="2" fillId="9" borderId="0" xfId="1" applyNumberFormat="1" applyFont="1" applyFill="1"/>
    <xf numFmtId="3" fontId="2" fillId="48" borderId="0" xfId="44" applyNumberFormat="1" applyFill="1"/>
    <xf numFmtId="3" fontId="3" fillId="48" borderId="0" xfId="44" applyNumberFormat="1" applyFont="1" applyFill="1" applyAlignment="1">
      <alignment horizontal="center"/>
    </xf>
    <xf numFmtId="1" fontId="3" fillId="48" borderId="1" xfId="44" applyNumberFormat="1" applyFont="1" applyFill="1" applyBorder="1" applyAlignment="1">
      <alignment horizontal="center"/>
    </xf>
    <xf numFmtId="3" fontId="44" fillId="48" borderId="0" xfId="44" applyNumberFormat="1" applyFont="1" applyFill="1"/>
    <xf numFmtId="1" fontId="2" fillId="48" borderId="0" xfId="44" applyNumberFormat="1" applyFill="1" applyAlignment="1">
      <alignment horizontal="left"/>
    </xf>
    <xf numFmtId="173" fontId="2" fillId="48" borderId="0" xfId="44" applyNumberFormat="1" applyFill="1"/>
    <xf numFmtId="3" fontId="73" fillId="48" borderId="0" xfId="44" applyNumberFormat="1" applyFont="1" applyFill="1"/>
    <xf numFmtId="173" fontId="3" fillId="0" borderId="0" xfId="44" applyNumberFormat="1" applyFont="1"/>
    <xf numFmtId="175" fontId="67" fillId="0" borderId="0" xfId="47" applyNumberFormat="1" applyFont="1" applyFill="1"/>
    <xf numFmtId="168" fontId="68" fillId="0" borderId="0" xfId="47" applyNumberFormat="1" applyFont="1" applyFill="1"/>
    <xf numFmtId="164" fontId="67" fillId="0" borderId="0" xfId="46" applyNumberFormat="1"/>
    <xf numFmtId="168" fontId="14" fillId="49" borderId="0" xfId="1" applyNumberFormat="1" applyFont="1" applyFill="1"/>
    <xf numFmtId="168" fontId="3" fillId="50" borderId="0" xfId="0" applyNumberFormat="1" applyFont="1" applyFill="1"/>
    <xf numFmtId="168" fontId="3" fillId="0" borderId="0" xfId="0" applyNumberFormat="1" applyFont="1" applyFill="1" applyBorder="1"/>
    <xf numFmtId="168" fontId="34" fillId="0" borderId="0" xfId="1" applyNumberFormat="1" applyFont="1" applyFill="1" applyBorder="1"/>
    <xf numFmtId="168" fontId="3" fillId="0" borderId="0" xfId="1" applyNumberFormat="1" applyFont="1" applyFill="1" applyBorder="1"/>
    <xf numFmtId="168" fontId="30" fillId="0" borderId="0" xfId="1" applyNumberFormat="1" applyFont="1" applyFill="1" applyBorder="1"/>
    <xf numFmtId="168" fontId="0" fillId="7" borderId="0" xfId="1" applyNumberFormat="1" applyFont="1" applyFill="1"/>
    <xf numFmtId="168" fontId="0" fillId="8" borderId="2" xfId="1" applyNumberFormat="1" applyFont="1" applyFill="1" applyBorder="1"/>
    <xf numFmtId="168" fontId="25" fillId="8" borderId="2" xfId="1" applyNumberFormat="1" applyFont="1" applyFill="1" applyBorder="1"/>
    <xf numFmtId="168" fontId="2" fillId="8" borderId="2" xfId="1" applyNumberFormat="1" applyFont="1" applyFill="1" applyBorder="1"/>
    <xf numFmtId="168" fontId="44" fillId="8" borderId="2" xfId="1" applyNumberFormat="1" applyFont="1" applyFill="1" applyBorder="1"/>
    <xf numFmtId="168" fontId="2" fillId="0" borderId="0" xfId="0" applyNumberFormat="1" applyFont="1"/>
    <xf numFmtId="168" fontId="3" fillId="0" borderId="0" xfId="0" applyNumberFormat="1" applyFont="1"/>
    <xf numFmtId="168" fontId="6" fillId="0" borderId="0" xfId="0" applyNumberFormat="1" applyFont="1"/>
    <xf numFmtId="3" fontId="3" fillId="0" borderId="0" xfId="1" applyNumberFormat="1" applyFont="1"/>
    <xf numFmtId="168" fontId="76" fillId="0" borderId="0" xfId="1" applyNumberFormat="1" applyFont="1" applyFill="1"/>
    <xf numFmtId="168" fontId="77" fillId="0" borderId="0" xfId="1" applyNumberFormat="1" applyFont="1" applyFill="1"/>
    <xf numFmtId="168" fontId="74" fillId="0" borderId="0" xfId="1" applyNumberFormat="1" applyFont="1"/>
    <xf numFmtId="168" fontId="75" fillId="0" borderId="0" xfId="1" applyNumberFormat="1" applyFont="1"/>
    <xf numFmtId="0" fontId="2" fillId="47" borderId="0" xfId="0" applyFont="1" applyFill="1"/>
    <xf numFmtId="0" fontId="5" fillId="47" borderId="0" xfId="0" applyFont="1" applyFill="1"/>
    <xf numFmtId="168" fontId="0" fillId="47" borderId="1" xfId="0" applyNumberFormat="1" applyFill="1" applyBorder="1"/>
    <xf numFmtId="0" fontId="2" fillId="51" borderId="0" xfId="0" applyFont="1" applyFill="1"/>
    <xf numFmtId="0" fontId="5" fillId="51" borderId="0" xfId="0" applyFont="1" applyFill="1"/>
    <xf numFmtId="168" fontId="0" fillId="51" borderId="1" xfId="0" applyNumberFormat="1" applyFill="1" applyBorder="1"/>
    <xf numFmtId="0" fontId="11" fillId="0" borderId="0" xfId="0" applyFont="1"/>
    <xf numFmtId="0" fontId="78" fillId="0" borderId="0" xfId="0" applyFont="1"/>
    <xf numFmtId="168" fontId="6" fillId="0" borderId="8" xfId="1" applyNumberFormat="1" applyFont="1" applyBorder="1"/>
    <xf numFmtId="168" fontId="6" fillId="0" borderId="8" xfId="1" applyNumberFormat="1" applyFont="1" applyFill="1" applyBorder="1"/>
    <xf numFmtId="165" fontId="6" fillId="0" borderId="8" xfId="1" applyNumberFormat="1" applyFont="1" applyFill="1" applyBorder="1"/>
    <xf numFmtId="168" fontId="6" fillId="10" borderId="8" xfId="1" applyNumberFormat="1" applyFont="1" applyFill="1" applyBorder="1"/>
    <xf numFmtId="168" fontId="76" fillId="0" borderId="5" xfId="1" applyNumberFormat="1" applyFont="1" applyBorder="1"/>
    <xf numFmtId="168" fontId="75" fillId="0" borderId="0" xfId="1" quotePrefix="1" applyNumberFormat="1" applyFont="1"/>
    <xf numFmtId="168" fontId="6" fillId="2" borderId="8" xfId="1" applyNumberFormat="1" applyFont="1" applyFill="1" applyBorder="1"/>
    <xf numFmtId="168" fontId="6" fillId="5" borderId="8" xfId="1" applyNumberFormat="1" applyFont="1" applyFill="1" applyBorder="1"/>
    <xf numFmtId="168" fontId="76" fillId="0" borderId="5" xfId="1" applyNumberFormat="1" applyFont="1" applyFill="1" applyBorder="1"/>
    <xf numFmtId="168" fontId="4" fillId="0" borderId="0" xfId="1" applyNumberFormat="1" applyFont="1" applyBorder="1"/>
    <xf numFmtId="168" fontId="75" fillId="0" borderId="0" xfId="1" applyNumberFormat="1" applyFont="1" applyBorder="1"/>
    <xf numFmtId="168" fontId="31" fillId="0" borderId="0" xfId="1" applyNumberFormat="1" applyFont="1" applyFill="1"/>
    <xf numFmtId="168" fontId="76" fillId="10" borderId="5" xfId="1" applyNumberFormat="1" applyFont="1" applyFill="1" applyBorder="1"/>
    <xf numFmtId="168" fontId="3" fillId="10" borderId="0" xfId="1" applyNumberFormat="1" applyFont="1" applyFill="1"/>
    <xf numFmtId="3" fontId="3" fillId="10" borderId="0" xfId="1" applyNumberFormat="1" applyFont="1" applyFill="1"/>
    <xf numFmtId="168" fontId="75" fillId="10" borderId="0" xfId="1" applyNumberFormat="1" applyFont="1" applyFill="1"/>
    <xf numFmtId="168" fontId="0" fillId="7" borderId="0" xfId="1" applyNumberFormat="1" applyFont="1" applyFill="1" applyBorder="1" applyAlignment="1">
      <alignment horizontal="right"/>
    </xf>
    <xf numFmtId="168" fontId="0" fillId="7" borderId="1" xfId="1" applyNumberFormat="1" applyFont="1" applyFill="1" applyBorder="1" applyAlignment="1">
      <alignment horizontal="right"/>
    </xf>
    <xf numFmtId="168" fontId="6" fillId="7" borderId="0" xfId="1" applyNumberFormat="1" applyFont="1" applyFill="1" applyBorder="1"/>
    <xf numFmtId="168" fontId="76" fillId="7" borderId="5" xfId="1" applyNumberFormat="1" applyFont="1" applyFill="1" applyBorder="1"/>
    <xf numFmtId="168" fontId="4" fillId="7" borderId="0" xfId="1" applyNumberFormat="1" applyFont="1" applyFill="1"/>
    <xf numFmtId="3" fontId="4" fillId="7" borderId="0" xfId="1" applyNumberFormat="1" applyFont="1" applyFill="1"/>
    <xf numFmtId="168" fontId="4" fillId="7" borderId="1" xfId="1" applyNumberFormat="1" applyFont="1" applyFill="1" applyBorder="1"/>
    <xf numFmtId="168" fontId="5" fillId="7" borderId="4" xfId="1" applyNumberFormat="1" applyFont="1" applyFill="1" applyBorder="1"/>
    <xf numFmtId="168" fontId="0" fillId="7" borderId="1" xfId="1" applyNumberFormat="1" applyFont="1" applyFill="1" applyBorder="1"/>
    <xf numFmtId="168" fontId="0" fillId="7" borderId="5" xfId="1" applyNumberFormat="1" applyFont="1" applyFill="1" applyBorder="1"/>
    <xf numFmtId="168" fontId="0" fillId="9" borderId="0" xfId="1" applyNumberFormat="1" applyFont="1" applyFill="1"/>
    <xf numFmtId="168" fontId="0" fillId="9" borderId="0" xfId="1" applyNumberFormat="1" applyFont="1" applyFill="1" applyBorder="1" applyAlignment="1">
      <alignment horizontal="right"/>
    </xf>
    <xf numFmtId="168" fontId="0" fillId="9" borderId="1" xfId="1" applyNumberFormat="1" applyFont="1" applyFill="1" applyBorder="1" applyAlignment="1">
      <alignment horizontal="right"/>
    </xf>
    <xf numFmtId="168" fontId="6" fillId="9" borderId="0" xfId="1" applyNumberFormat="1" applyFont="1" applyFill="1" applyBorder="1"/>
    <xf numFmtId="168" fontId="76" fillId="9" borderId="5" xfId="1" applyNumberFormat="1" applyFont="1" applyFill="1" applyBorder="1"/>
    <xf numFmtId="168" fontId="4" fillId="9" borderId="0" xfId="1" applyNumberFormat="1" applyFont="1" applyFill="1"/>
    <xf numFmtId="3" fontId="4" fillId="9" borderId="0" xfId="1" applyNumberFormat="1" applyFont="1" applyFill="1"/>
    <xf numFmtId="168" fontId="4" fillId="9" borderId="1" xfId="1" applyNumberFormat="1" applyFont="1" applyFill="1" applyBorder="1"/>
    <xf numFmtId="168" fontId="5" fillId="9" borderId="4" xfId="1" applyNumberFormat="1" applyFont="1" applyFill="1" applyBorder="1"/>
    <xf numFmtId="168" fontId="0" fillId="9" borderId="1" xfId="1" applyNumberFormat="1" applyFont="1" applyFill="1" applyBorder="1"/>
    <xf numFmtId="168" fontId="0" fillId="9" borderId="5" xfId="1" applyNumberFormat="1" applyFont="1" applyFill="1" applyBorder="1"/>
    <xf numFmtId="168" fontId="6" fillId="7" borderId="8" xfId="1" applyNumberFormat="1" applyFont="1" applyFill="1" applyBorder="1"/>
    <xf numFmtId="168" fontId="6" fillId="9" borderId="8" xfId="1" applyNumberFormat="1" applyFont="1" applyFill="1" applyBorder="1"/>
    <xf numFmtId="168" fontId="3" fillId="10" borderId="0" xfId="0" applyNumberFormat="1" applyFont="1" applyFill="1"/>
    <xf numFmtId="168" fontId="2" fillId="10" borderId="0" xfId="0" applyNumberFormat="1" applyFont="1" applyFill="1"/>
    <xf numFmtId="168" fontId="6" fillId="10" borderId="0" xfId="0" applyNumberFormat="1" applyFont="1" applyFill="1"/>
    <xf numFmtId="168" fontId="0" fillId="7" borderId="0" xfId="0" applyNumberFormat="1" applyFill="1"/>
    <xf numFmtId="168" fontId="0" fillId="7" borderId="1" xfId="0" applyNumberFormat="1" applyFill="1" applyBorder="1"/>
    <xf numFmtId="168" fontId="3" fillId="7" borderId="0" xfId="0" applyNumberFormat="1" applyFont="1" applyFill="1"/>
    <xf numFmtId="168" fontId="2" fillId="7" borderId="0" xfId="0" applyNumberFormat="1" applyFont="1" applyFill="1"/>
    <xf numFmtId="168" fontId="6" fillId="7" borderId="0" xfId="0" applyNumberFormat="1" applyFont="1" applyFill="1"/>
    <xf numFmtId="168" fontId="6" fillId="7" borderId="5" xfId="0" applyNumberFormat="1" applyFont="1" applyFill="1" applyBorder="1"/>
    <xf numFmtId="168" fontId="0" fillId="9" borderId="0" xfId="0" applyNumberFormat="1" applyFill="1"/>
    <xf numFmtId="168" fontId="0" fillId="9" borderId="1" xfId="0" applyNumberFormat="1" applyFill="1" applyBorder="1"/>
    <xf numFmtId="168" fontId="3" fillId="9" borderId="0" xfId="0" applyNumberFormat="1" applyFont="1" applyFill="1"/>
    <xf numFmtId="168" fontId="2" fillId="9" borderId="0" xfId="0" applyNumberFormat="1" applyFont="1" applyFill="1"/>
    <xf numFmtId="168" fontId="6" fillId="9" borderId="0" xfId="0" applyNumberFormat="1" applyFont="1" applyFill="1"/>
    <xf numFmtId="168" fontId="6" fillId="9" borderId="5" xfId="0" applyNumberFormat="1" applyFont="1" applyFill="1" applyBorder="1"/>
    <xf numFmtId="168" fontId="76" fillId="0" borderId="0" xfId="1" applyNumberFormat="1" applyFont="1" applyBorder="1"/>
    <xf numFmtId="168" fontId="4" fillId="0" borderId="5" xfId="1" applyNumberFormat="1" applyFont="1" applyBorder="1"/>
    <xf numFmtId="168" fontId="2" fillId="0" borderId="0" xfId="1" applyNumberFormat="1" applyFont="1" applyFill="1" applyBorder="1"/>
    <xf numFmtId="168" fontId="2" fillId="49" borderId="0" xfId="1" applyNumberFormat="1" applyFont="1" applyFill="1"/>
    <xf numFmtId="168" fontId="6" fillId="0" borderId="21" xfId="1" applyNumberFormat="1" applyFont="1" applyBorder="1"/>
    <xf numFmtId="168" fontId="2" fillId="14" borderId="0" xfId="0" applyNumberFormat="1" applyFont="1" applyFill="1"/>
    <xf numFmtId="0" fontId="4" fillId="0" borderId="0" xfId="0" applyFont="1" applyAlignment="1">
      <alignment wrapText="1"/>
    </xf>
    <xf numFmtId="0" fontId="0" fillId="0" borderId="0" xfId="0" applyAlignment="1">
      <alignment wrapText="1"/>
    </xf>
    <xf numFmtId="0" fontId="3" fillId="0" borderId="0" xfId="0" applyFont="1" applyAlignment="1">
      <alignment horizontal="center"/>
    </xf>
    <xf numFmtId="0" fontId="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69" fillId="0" borderId="0" xfId="46" applyFont="1" applyAlignment="1">
      <alignment wrapText="1"/>
    </xf>
    <xf numFmtId="0" fontId="70" fillId="0" borderId="0" xfId="44" applyFont="1" applyAlignment="1">
      <alignment wrapText="1"/>
    </xf>
    <xf numFmtId="168" fontId="0" fillId="52" borderId="0" xfId="0" applyNumberFormat="1" applyFill="1"/>
    <xf numFmtId="0" fontId="0" fillId="52" borderId="0" xfId="0" applyFill="1"/>
  </cellXfs>
  <cellStyles count="48">
    <cellStyle name="20 % - Accent1" xfId="20" builtinId="30" customBuiltin="1"/>
    <cellStyle name="20 % - Accent2" xfId="24" builtinId="34" customBuiltin="1"/>
    <cellStyle name="20 % - Accent3" xfId="28" builtinId="38" customBuiltin="1"/>
    <cellStyle name="20 % - Accent4" xfId="32" builtinId="42" customBuiltin="1"/>
    <cellStyle name="20 % - Accent5" xfId="36" builtinId="46" customBuiltin="1"/>
    <cellStyle name="20 % - Accent6" xfId="40" builtinId="50" customBuiltin="1"/>
    <cellStyle name="40 % - Accent1" xfId="21" builtinId="31" customBuiltin="1"/>
    <cellStyle name="40 % - Accent2" xfId="25" builtinId="35" customBuiltin="1"/>
    <cellStyle name="40 % - Accent3" xfId="29" builtinId="39" customBuiltin="1"/>
    <cellStyle name="40 % - Accent4" xfId="33" builtinId="43" customBuiltin="1"/>
    <cellStyle name="40 % - Accent5" xfId="37" builtinId="47" customBuiltin="1"/>
    <cellStyle name="40 % - Accent6" xfId="41" builtinId="51" customBuiltin="1"/>
    <cellStyle name="60 % - Accent1" xfId="22" builtinId="32" customBuiltin="1"/>
    <cellStyle name="60 % - Accent2" xfId="26" builtinId="36" customBuiltin="1"/>
    <cellStyle name="60 % - Accent3" xfId="30" builtinId="40" customBuiltin="1"/>
    <cellStyle name="60 % - Accent4" xfId="34" builtinId="44" customBuiltin="1"/>
    <cellStyle name="60 % - Accent5" xfId="38" builtinId="48" customBuiltin="1"/>
    <cellStyle name="60 %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vertissement" xfId="16" builtinId="11" customBuiltin="1"/>
    <cellStyle name="Calcul" xfId="13" builtinId="22" customBuiltin="1"/>
    <cellStyle name="Cellule liée" xfId="14" builtinId="24" customBuiltin="1"/>
    <cellStyle name="Comma_OTPP smoothing comparisons" xfId="47"/>
    <cellStyle name="Entrée" xfId="11" builtinId="20" customBuiltin="1"/>
    <cellStyle name="Insatisfaisant" xfId="9" builtinId="27" customBuiltin="1"/>
    <cellStyle name="Milliers" xfId="1" builtinId="3"/>
    <cellStyle name="Neutre" xfId="10" builtinId="28" customBuiltin="1"/>
    <cellStyle name="Normal" xfId="0" builtinId="0"/>
    <cellStyle name="Normal 2" xfId="43"/>
    <cellStyle name="Normal 3" xfId="44"/>
    <cellStyle name="Normal_OTPP smoothing comparisons" xfId="46"/>
    <cellStyle name="Note 2" xfId="45"/>
    <cellStyle name="Pourcentage" xfId="2" builtinId="5"/>
    <cellStyle name="Satisfaisant" xfId="8" builtinId="26" customBuiltin="1"/>
    <cellStyle name="Sortie" xfId="12" builtinId="21" customBuiltin="1"/>
    <cellStyle name="Texte explicatif" xfId="17" builtinId="53" customBuiltin="1"/>
    <cellStyle name="Titre" xfId="3" builtinId="15" customBuiltin="1"/>
    <cellStyle name="Titre 1" xfId="4" builtinId="16" customBuiltin="1"/>
    <cellStyle name="Titre 2" xfId="5" builtinId="17" customBuiltin="1"/>
    <cellStyle name="Titre 3" xfId="6" builtinId="18" customBuiltin="1"/>
    <cellStyle name="Titre 4" xfId="7" builtinId="19" customBuiltin="1"/>
    <cellStyle name="Total" xfId="18" builtinId="25" customBuiltin="1"/>
    <cellStyle name="Vérification" xfId="15" builtinId="23"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25</xdr:col>
      <xdr:colOff>428625</xdr:colOff>
      <xdr:row>4</xdr:row>
      <xdr:rowOff>19050</xdr:rowOff>
    </xdr:from>
    <xdr:to>
      <xdr:col>25</xdr:col>
      <xdr:colOff>428625</xdr:colOff>
      <xdr:row>4</xdr:row>
      <xdr:rowOff>19050</xdr:rowOff>
    </xdr:to>
    <xdr:sp macro="" textlink="">
      <xdr:nvSpPr>
        <xdr:cNvPr id="1121"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428625</xdr:colOff>
      <xdr:row>4</xdr:row>
      <xdr:rowOff>19050</xdr:rowOff>
    </xdr:from>
    <xdr:to>
      <xdr:col>26</xdr:col>
      <xdr:colOff>428625</xdr:colOff>
      <xdr:row>4</xdr:row>
      <xdr:rowOff>19050</xdr:rowOff>
    </xdr:to>
    <xdr:sp macro="" textlink="">
      <xdr:nvSpPr>
        <xdr:cNvPr id="4"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ension\OTPP%202016%20-17%20forecast%20database%20v1%20(Basis%203)%20updated%20with%20final%20assets%20from%20audited%20FS%20OT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PP Data"/>
      <sheetName val="Assumptions and Trends"/>
      <sheetName val="Assumption Comparisons"/>
      <sheetName val="Smoothing"/>
      <sheetName val="Gain avai. for smoothing 2015"/>
      <sheetName val="Gain avai. for smoothing 2014"/>
      <sheetName val="Gain avai. for smoothing 2013"/>
      <sheetName val="Gain avai. for smoothing 2012"/>
      <sheetName val="Comparison of smoothing 2011"/>
      <sheetName val="Yr over Yr Analysis"/>
    </sheetNames>
    <sheetDataSet>
      <sheetData sheetId="0"/>
      <sheetData sheetId="1">
        <row r="28">
          <cell r="S28">
            <v>5537</v>
          </cell>
        </row>
        <row r="47">
          <cell r="S47">
            <v>3299</v>
          </cell>
        </row>
      </sheetData>
      <sheetData sheetId="2"/>
      <sheetData sheetId="3"/>
      <sheetData sheetId="4"/>
      <sheetData sheetId="5">
        <row r="20">
          <cell r="K20">
            <v>-6408</v>
          </cell>
        </row>
      </sheetData>
      <sheetData sheetId="6">
        <row r="20">
          <cell r="K20">
            <v>-4673</v>
          </cell>
        </row>
      </sheetData>
      <sheetData sheetId="7">
        <row r="20">
          <cell r="K20">
            <v>-6555</v>
          </cell>
        </row>
      </sheetData>
      <sheetData sheetId="8">
        <row r="27">
          <cell r="K27">
            <v>-4247</v>
          </cell>
        </row>
      </sheetData>
      <sheetData sheetId="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51"/>
  <sheetViews>
    <sheetView tabSelected="1" workbookViewId="0">
      <pane xSplit="1" ySplit="4" topLeftCell="B17" activePane="bottomRight" state="frozen"/>
      <selection pane="topRight" activeCell="B1" sqref="B1"/>
      <selection pane="bottomLeft" activeCell="A5" sqref="A5"/>
      <selection pane="bottomRight" activeCell="G29" sqref="G29"/>
    </sheetView>
  </sheetViews>
  <sheetFormatPr baseColWidth="10" defaultColWidth="9.140625" defaultRowHeight="12.75" outlineLevelCol="1" x14ac:dyDescent="0.2"/>
  <cols>
    <col min="1" max="1" width="66.5703125" customWidth="1"/>
    <col min="2" max="2" width="18.7109375" customWidth="1"/>
    <col min="3" max="4" width="9.140625" hidden="1" customWidth="1" outlineLevel="1"/>
    <col min="5" max="5" width="8.85546875" hidden="1" customWidth="1" outlineLevel="1"/>
    <col min="6" max="6" width="11.5703125" hidden="1" customWidth="1" outlineLevel="1"/>
    <col min="7" max="7" width="11.5703125" customWidth="1" collapsed="1"/>
    <col min="8" max="13" width="11.5703125" customWidth="1"/>
    <col min="14" max="14" width="11" customWidth="1"/>
    <col min="15" max="16" width="13.42578125" customWidth="1"/>
    <col min="17" max="17" width="13.42578125" style="115" customWidth="1"/>
    <col min="18" max="18" width="15" style="115" customWidth="1"/>
    <col min="19" max="19" width="14.42578125" style="115" customWidth="1"/>
    <col min="20" max="20" width="13.42578125" style="115" customWidth="1"/>
    <col min="21" max="22" width="14.42578125" style="115" bestFit="1" customWidth="1"/>
    <col min="23" max="25" width="13.42578125" style="115" bestFit="1" customWidth="1"/>
    <col min="26" max="26" width="15.140625" style="115" customWidth="1"/>
    <col min="27" max="27" width="14.5703125" style="115" bestFit="1" customWidth="1"/>
    <col min="28" max="28" width="15.5703125" style="337" bestFit="1" customWidth="1"/>
    <col min="29" max="31" width="10.42578125" style="304" hidden="1" customWidth="1" outlineLevel="1"/>
    <col min="32" max="32" width="10.42578125" style="323" hidden="1" customWidth="1" outlineLevel="1"/>
    <col min="33" max="33" width="9.140625" collapsed="1"/>
  </cols>
  <sheetData>
    <row r="1" spans="1:32" ht="15.75" x14ac:dyDescent="0.25">
      <c r="A1" s="18" t="s">
        <v>67</v>
      </c>
    </row>
    <row r="2" spans="1:32" x14ac:dyDescent="0.2">
      <c r="A2" s="2" t="s">
        <v>195</v>
      </c>
    </row>
    <row r="3" spans="1:32" x14ac:dyDescent="0.2">
      <c r="Z3" s="338" t="s">
        <v>178</v>
      </c>
      <c r="AA3" s="338" t="s">
        <v>294</v>
      </c>
      <c r="AB3" s="336" t="s">
        <v>309</v>
      </c>
      <c r="AC3" s="322" t="s">
        <v>315</v>
      </c>
      <c r="AD3" s="322" t="s">
        <v>316</v>
      </c>
      <c r="AE3" s="322" t="s">
        <v>317</v>
      </c>
      <c r="AF3" s="324"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1">
        <v>2015</v>
      </c>
      <c r="AC4" s="307">
        <v>2016</v>
      </c>
      <c r="AD4" s="307">
        <v>2017</v>
      </c>
      <c r="AE4" s="307">
        <v>2018</v>
      </c>
      <c r="AF4" s="325">
        <v>2019</v>
      </c>
    </row>
    <row r="6" spans="1:32" x14ac:dyDescent="0.2">
      <c r="A6" s="28" t="s">
        <v>488</v>
      </c>
    </row>
    <row r="7" spans="1:32" x14ac:dyDescent="0.2">
      <c r="A7" s="331" t="s">
        <v>481</v>
      </c>
      <c r="B7" s="3" t="s">
        <v>201</v>
      </c>
      <c r="C7" s="22">
        <f>'Data Input'!D12</f>
        <v>24391</v>
      </c>
      <c r="D7" s="22">
        <f>'Data Input'!E12</f>
        <v>27479</v>
      </c>
      <c r="E7" s="22">
        <f>'Data Input'!F12</f>
        <v>30781</v>
      </c>
      <c r="F7" s="22">
        <f>'Data Input'!G12</f>
        <v>33998</v>
      </c>
      <c r="G7" s="106">
        <f>'Data Input'!H12</f>
        <v>36848</v>
      </c>
      <c r="H7" s="22">
        <f>'Data Input'!I12</f>
        <v>39007</v>
      </c>
      <c r="I7" s="22">
        <f>'Data Input'!J12</f>
        <v>41833</v>
      </c>
      <c r="J7" s="22">
        <f>'Data Input'!K12</f>
        <v>46470</v>
      </c>
      <c r="K7" s="22">
        <f>'Data Input'!L12</f>
        <v>48635</v>
      </c>
      <c r="L7" s="22">
        <f>'Data Input'!M12</f>
        <v>50346</v>
      </c>
      <c r="M7" s="22">
        <f>'Data Input'!N12</f>
        <v>55087</v>
      </c>
      <c r="N7" s="22">
        <f>'Data Input'!O12</f>
        <v>64369</v>
      </c>
      <c r="O7" s="22">
        <f>'Data Input'!P12</f>
        <v>67319</v>
      </c>
      <c r="P7" s="22">
        <f>'Data Input'!Q12</f>
        <v>71009</v>
      </c>
      <c r="Q7" s="22">
        <f>'Data Input'!R12</f>
        <v>74089</v>
      </c>
      <c r="R7" s="22">
        <f>'Data Input'!S12</f>
        <v>80371</v>
      </c>
      <c r="S7" s="22">
        <f>'Data Input'!T12</f>
        <v>83120</v>
      </c>
      <c r="T7" s="22">
        <f>'Data Input'!U12</f>
        <v>88356</v>
      </c>
      <c r="U7" s="22">
        <f>'Data Input'!V12</f>
        <v>92022</v>
      </c>
      <c r="V7" s="22">
        <f>'Data Input'!W12</f>
        <v>96608</v>
      </c>
      <c r="W7" s="22">
        <f>'Data Input'!X12</f>
        <v>99117</v>
      </c>
      <c r="X7" s="22">
        <f>'Data Input'!Y12</f>
        <v>103693</v>
      </c>
      <c r="Y7" s="22">
        <f>'Data Input'!Z12</f>
        <v>105954</v>
      </c>
      <c r="Z7" s="22">
        <f>'Data Input'!AA12</f>
        <v>109524</v>
      </c>
      <c r="AA7" s="22">
        <f>'Data Input'!AB12</f>
        <v>113801</v>
      </c>
      <c r="AB7" s="348">
        <f>'Data Input'!AC12</f>
        <v>116367</v>
      </c>
      <c r="AC7" s="629">
        <f>'Data Input'!AD12</f>
        <v>120891.15773981952</v>
      </c>
      <c r="AD7" s="629">
        <f>'Data Input'!AE12</f>
        <v>125674.54587496544</v>
      </c>
      <c r="AE7" s="629">
        <f>'Data Input'!AF12</f>
        <v>130724.77615093655</v>
      </c>
      <c r="AF7" s="635">
        <f>'Data Input'!AG12</f>
        <v>136066.48289917331</v>
      </c>
    </row>
    <row r="8" spans="1:32" x14ac:dyDescent="0.2">
      <c r="A8" s="331" t="s">
        <v>486</v>
      </c>
      <c r="B8" s="3" t="s">
        <v>201</v>
      </c>
      <c r="C8" s="38">
        <f>'Data Input'!D26</f>
        <v>20124</v>
      </c>
      <c r="D8" s="38">
        <f>'Data Input'!E26</f>
        <v>24697</v>
      </c>
      <c r="E8" s="38">
        <f>'Data Input'!F26</f>
        <v>27773</v>
      </c>
      <c r="F8" s="38">
        <f>'Data Input'!G26</f>
        <v>33711</v>
      </c>
      <c r="G8" s="137">
        <f>'Data Input'!H26</f>
        <v>34494</v>
      </c>
      <c r="H8" s="38">
        <f>'Data Input'!I26</f>
        <v>40137</v>
      </c>
      <c r="I8" s="38">
        <f>'Data Input'!J26</f>
        <v>47429</v>
      </c>
      <c r="J8" s="38">
        <f>'Data Input'!K26</f>
        <v>54479</v>
      </c>
      <c r="K8" s="38">
        <f>'Data Input'!L26</f>
        <v>59170</v>
      </c>
      <c r="L8" s="38">
        <f>'Data Input'!M26</f>
        <v>68303</v>
      </c>
      <c r="M8" s="38">
        <f>'Data Input'!N26</f>
        <v>73121</v>
      </c>
      <c r="N8" s="38">
        <f>'Data Input'!O26</f>
        <v>69456</v>
      </c>
      <c r="O8" s="38">
        <f>'Data Input'!P26</f>
        <v>66213</v>
      </c>
      <c r="P8" s="38">
        <f>'Data Input'!Q26</f>
        <v>75677</v>
      </c>
      <c r="Q8" s="38">
        <f>'Data Input'!R26</f>
        <v>84326</v>
      </c>
      <c r="R8" s="38">
        <f>'Data Input'!S26</f>
        <v>96128</v>
      </c>
      <c r="S8" s="38">
        <f>'Data Input'!T26</f>
        <v>106014</v>
      </c>
      <c r="T8" s="38">
        <f>'Data Input'!U26</f>
        <v>108546</v>
      </c>
      <c r="U8" s="38">
        <f>'Data Input'!V26</f>
        <v>87433</v>
      </c>
      <c r="V8" s="38">
        <f>'Data Input'!W26</f>
        <v>96408</v>
      </c>
      <c r="W8" s="38">
        <f>'Data Input'!X26</f>
        <v>107590</v>
      </c>
      <c r="X8" s="38">
        <f>'Data Input'!Y26</f>
        <v>117099</v>
      </c>
      <c r="Y8" s="38">
        <f>'Data Input'!Z26</f>
        <v>129524</v>
      </c>
      <c r="Z8" s="38">
        <f>'Data Input'!AA26</f>
        <v>140764</v>
      </c>
      <c r="AA8" s="38">
        <f>'Data Input'!AB26</f>
        <v>154476</v>
      </c>
      <c r="AB8" s="355">
        <f>'Data Input'!AC26</f>
        <v>171440</v>
      </c>
      <c r="AC8" s="630">
        <f>'Data Input'!AD26</f>
        <v>179866.87488462828</v>
      </c>
      <c r="AD8" s="630">
        <f>'Data Input'!AE26</f>
        <v>188724.14824921408</v>
      </c>
      <c r="AE8" s="630">
        <f>'Data Input'!AF26</f>
        <v>197994.25039928145</v>
      </c>
      <c r="AF8" s="636">
        <f>'Data Input'!AG26</f>
        <v>207697.4054389525</v>
      </c>
    </row>
    <row r="9" spans="1:32" x14ac:dyDescent="0.2">
      <c r="A9" s="331" t="s">
        <v>484</v>
      </c>
      <c r="B9" s="14" t="s">
        <v>31</v>
      </c>
      <c r="C9" s="22">
        <f>C7-C8</f>
        <v>4267</v>
      </c>
      <c r="D9" s="22">
        <f t="shared" ref="D9:AF9" si="0">D7-D8</f>
        <v>2782</v>
      </c>
      <c r="E9" s="22">
        <f t="shared" si="0"/>
        <v>3008</v>
      </c>
      <c r="F9" s="22">
        <f t="shared" si="0"/>
        <v>287</v>
      </c>
      <c r="G9" s="106">
        <f t="shared" si="0"/>
        <v>2354</v>
      </c>
      <c r="H9" s="22">
        <f t="shared" si="0"/>
        <v>-1130</v>
      </c>
      <c r="I9" s="22">
        <f t="shared" si="0"/>
        <v>-5596</v>
      </c>
      <c r="J9" s="22">
        <f t="shared" si="0"/>
        <v>-8009</v>
      </c>
      <c r="K9" s="22">
        <f t="shared" si="0"/>
        <v>-10535</v>
      </c>
      <c r="L9" s="22">
        <f t="shared" si="0"/>
        <v>-17957</v>
      </c>
      <c r="M9" s="22">
        <f t="shared" si="0"/>
        <v>-18034</v>
      </c>
      <c r="N9" s="22">
        <f t="shared" si="0"/>
        <v>-5087</v>
      </c>
      <c r="O9" s="22">
        <f t="shared" si="0"/>
        <v>1106</v>
      </c>
      <c r="P9" s="22">
        <f t="shared" si="0"/>
        <v>-4668</v>
      </c>
      <c r="Q9" s="22">
        <f t="shared" si="0"/>
        <v>-10237</v>
      </c>
      <c r="R9" s="22">
        <f t="shared" si="0"/>
        <v>-15757</v>
      </c>
      <c r="S9" s="22">
        <f t="shared" si="0"/>
        <v>-22894</v>
      </c>
      <c r="T9" s="22">
        <f t="shared" si="0"/>
        <v>-20190</v>
      </c>
      <c r="U9" s="22">
        <f t="shared" si="0"/>
        <v>4589</v>
      </c>
      <c r="V9" s="22">
        <f t="shared" si="0"/>
        <v>200</v>
      </c>
      <c r="W9" s="22">
        <f t="shared" si="0"/>
        <v>-8473</v>
      </c>
      <c r="X9" s="22">
        <f t="shared" si="0"/>
        <v>-13406</v>
      </c>
      <c r="Y9" s="22">
        <f t="shared" si="0"/>
        <v>-23570</v>
      </c>
      <c r="Z9" s="22">
        <f t="shared" si="0"/>
        <v>-31240</v>
      </c>
      <c r="AA9" s="22">
        <f t="shared" si="0"/>
        <v>-40675</v>
      </c>
      <c r="AB9" s="348">
        <f t="shared" si="0"/>
        <v>-55073</v>
      </c>
      <c r="AC9" s="629">
        <f t="shared" si="0"/>
        <v>-58975.717144808761</v>
      </c>
      <c r="AD9" s="629">
        <f t="shared" si="0"/>
        <v>-63049.602374248643</v>
      </c>
      <c r="AE9" s="629">
        <f t="shared" si="0"/>
        <v>-67269.474248344894</v>
      </c>
      <c r="AF9" s="635">
        <f t="shared" si="0"/>
        <v>-71630.922539779189</v>
      </c>
    </row>
    <row r="10" spans="1:32" x14ac:dyDescent="0.2">
      <c r="G10" s="115"/>
    </row>
    <row r="11" spans="1:32" x14ac:dyDescent="0.2">
      <c r="A11" s="331" t="s">
        <v>482</v>
      </c>
      <c r="B11" s="14" t="s">
        <v>31</v>
      </c>
      <c r="C11" s="22">
        <f>C7*0.5</f>
        <v>12195.5</v>
      </c>
      <c r="D11" s="22">
        <f t="shared" ref="D11:AF11" si="1">D7*0.5</f>
        <v>13739.5</v>
      </c>
      <c r="E11" s="22">
        <f t="shared" si="1"/>
        <v>15390.5</v>
      </c>
      <c r="F11" s="22">
        <f t="shared" si="1"/>
        <v>16999</v>
      </c>
      <c r="G11" s="106">
        <f t="shared" si="1"/>
        <v>18424</v>
      </c>
      <c r="H11" s="22">
        <f t="shared" si="1"/>
        <v>19503.5</v>
      </c>
      <c r="I11" s="22">
        <f t="shared" si="1"/>
        <v>20916.5</v>
      </c>
      <c r="J11" s="22">
        <f t="shared" si="1"/>
        <v>23235</v>
      </c>
      <c r="K11" s="22">
        <f t="shared" si="1"/>
        <v>24317.5</v>
      </c>
      <c r="L11" s="22">
        <f t="shared" si="1"/>
        <v>25173</v>
      </c>
      <c r="M11" s="22">
        <f t="shared" si="1"/>
        <v>27543.5</v>
      </c>
      <c r="N11" s="22">
        <f t="shared" si="1"/>
        <v>32184.5</v>
      </c>
      <c r="O11" s="22">
        <f t="shared" si="1"/>
        <v>33659.5</v>
      </c>
      <c r="P11" s="22">
        <f t="shared" si="1"/>
        <v>35504.5</v>
      </c>
      <c r="Q11" s="22">
        <f t="shared" si="1"/>
        <v>37044.5</v>
      </c>
      <c r="R11" s="22">
        <f t="shared" si="1"/>
        <v>40185.5</v>
      </c>
      <c r="S11" s="22">
        <f t="shared" si="1"/>
        <v>41560</v>
      </c>
      <c r="T11" s="22">
        <f t="shared" si="1"/>
        <v>44178</v>
      </c>
      <c r="U11" s="22">
        <f t="shared" si="1"/>
        <v>46011</v>
      </c>
      <c r="V11" s="22">
        <f t="shared" si="1"/>
        <v>48304</v>
      </c>
      <c r="W11" s="22">
        <f t="shared" si="1"/>
        <v>49558.5</v>
      </c>
      <c r="X11" s="22">
        <f t="shared" si="1"/>
        <v>51846.5</v>
      </c>
      <c r="Y11" s="22">
        <f t="shared" si="1"/>
        <v>52977</v>
      </c>
      <c r="Z11" s="22">
        <f t="shared" si="1"/>
        <v>54762</v>
      </c>
      <c r="AA11" s="22">
        <f t="shared" si="1"/>
        <v>56900.5</v>
      </c>
      <c r="AB11" s="348">
        <f t="shared" si="1"/>
        <v>58183.5</v>
      </c>
      <c r="AC11" s="629">
        <f t="shared" si="1"/>
        <v>60445.578869909761</v>
      </c>
      <c r="AD11" s="629">
        <f t="shared" si="1"/>
        <v>62837.272937482718</v>
      </c>
      <c r="AE11" s="629">
        <f t="shared" si="1"/>
        <v>65362.388075468276</v>
      </c>
      <c r="AF11" s="635">
        <f t="shared" si="1"/>
        <v>68033.241449586654</v>
      </c>
    </row>
    <row r="12" spans="1:32" x14ac:dyDescent="0.2">
      <c r="A12" s="582" t="s">
        <v>487</v>
      </c>
      <c r="B12" s="583" t="s">
        <v>31</v>
      </c>
      <c r="C12" s="584">
        <f>C8*0.5</f>
        <v>10062</v>
      </c>
      <c r="D12" s="584">
        <f t="shared" ref="D12:AF12" si="2">D8*0.5</f>
        <v>12348.5</v>
      </c>
      <c r="E12" s="584">
        <f t="shared" si="2"/>
        <v>13886.5</v>
      </c>
      <c r="F12" s="584">
        <f t="shared" si="2"/>
        <v>16855.5</v>
      </c>
      <c r="G12" s="137">
        <f t="shared" si="2"/>
        <v>17247</v>
      </c>
      <c r="H12" s="584">
        <f t="shared" si="2"/>
        <v>20068.5</v>
      </c>
      <c r="I12" s="584">
        <f t="shared" si="2"/>
        <v>23714.5</v>
      </c>
      <c r="J12" s="584">
        <f t="shared" si="2"/>
        <v>27239.5</v>
      </c>
      <c r="K12" s="584">
        <f t="shared" si="2"/>
        <v>29585</v>
      </c>
      <c r="L12" s="584">
        <f t="shared" si="2"/>
        <v>34151.5</v>
      </c>
      <c r="M12" s="584">
        <f t="shared" si="2"/>
        <v>36560.5</v>
      </c>
      <c r="N12" s="584">
        <f t="shared" si="2"/>
        <v>34728</v>
      </c>
      <c r="O12" s="584">
        <f t="shared" si="2"/>
        <v>33106.5</v>
      </c>
      <c r="P12" s="584">
        <f t="shared" si="2"/>
        <v>37838.5</v>
      </c>
      <c r="Q12" s="584">
        <f t="shared" si="2"/>
        <v>42163</v>
      </c>
      <c r="R12" s="584">
        <f t="shared" si="2"/>
        <v>48064</v>
      </c>
      <c r="S12" s="584">
        <f t="shared" si="2"/>
        <v>53007</v>
      </c>
      <c r="T12" s="584">
        <f t="shared" si="2"/>
        <v>54273</v>
      </c>
      <c r="U12" s="584">
        <f t="shared" si="2"/>
        <v>43716.5</v>
      </c>
      <c r="V12" s="584">
        <f t="shared" si="2"/>
        <v>48204</v>
      </c>
      <c r="W12" s="584">
        <f t="shared" si="2"/>
        <v>53795</v>
      </c>
      <c r="X12" s="584">
        <f t="shared" si="2"/>
        <v>58549.5</v>
      </c>
      <c r="Y12" s="584">
        <f t="shared" si="2"/>
        <v>64762</v>
      </c>
      <c r="Z12" s="584">
        <f t="shared" si="2"/>
        <v>70382</v>
      </c>
      <c r="AA12" s="584">
        <f t="shared" si="2"/>
        <v>77238</v>
      </c>
      <c r="AB12" s="355">
        <f t="shared" si="2"/>
        <v>85720</v>
      </c>
      <c r="AC12" s="630">
        <f t="shared" si="2"/>
        <v>89933.437442314142</v>
      </c>
      <c r="AD12" s="630">
        <f t="shared" si="2"/>
        <v>94362.074124607039</v>
      </c>
      <c r="AE12" s="630">
        <f t="shared" si="2"/>
        <v>98997.125199640723</v>
      </c>
      <c r="AF12" s="636">
        <f t="shared" si="2"/>
        <v>103848.70271947625</v>
      </c>
    </row>
    <row r="13" spans="1:32" x14ac:dyDescent="0.2">
      <c r="A13" s="331" t="s">
        <v>485</v>
      </c>
      <c r="B13" s="14" t="s">
        <v>31</v>
      </c>
      <c r="C13" s="22">
        <f>C11-C12</f>
        <v>2133.5</v>
      </c>
      <c r="D13" s="22">
        <f t="shared" ref="D13:AF13" si="3">D11-D12</f>
        <v>1391</v>
      </c>
      <c r="E13" s="22">
        <f t="shared" si="3"/>
        <v>1504</v>
      </c>
      <c r="F13" s="22">
        <f t="shared" si="3"/>
        <v>143.5</v>
      </c>
      <c r="G13" s="106">
        <f t="shared" si="3"/>
        <v>1177</v>
      </c>
      <c r="H13" s="22">
        <f t="shared" si="3"/>
        <v>-565</v>
      </c>
      <c r="I13" s="22">
        <f t="shared" si="3"/>
        <v>-2798</v>
      </c>
      <c r="J13" s="22">
        <f t="shared" si="3"/>
        <v>-4004.5</v>
      </c>
      <c r="K13" s="22">
        <f t="shared" si="3"/>
        <v>-5267.5</v>
      </c>
      <c r="L13" s="22">
        <f t="shared" si="3"/>
        <v>-8978.5</v>
      </c>
      <c r="M13" s="22">
        <f t="shared" si="3"/>
        <v>-9017</v>
      </c>
      <c r="N13" s="22">
        <f t="shared" si="3"/>
        <v>-2543.5</v>
      </c>
      <c r="O13" s="22">
        <f t="shared" si="3"/>
        <v>553</v>
      </c>
      <c r="P13" s="22">
        <f t="shared" si="3"/>
        <v>-2334</v>
      </c>
      <c r="Q13" s="22">
        <f t="shared" si="3"/>
        <v>-5118.5</v>
      </c>
      <c r="R13" s="22">
        <f t="shared" si="3"/>
        <v>-7878.5</v>
      </c>
      <c r="S13" s="22">
        <f t="shared" si="3"/>
        <v>-11447</v>
      </c>
      <c r="T13" s="22">
        <f t="shared" si="3"/>
        <v>-10095</v>
      </c>
      <c r="U13" s="22">
        <f t="shared" si="3"/>
        <v>2294.5</v>
      </c>
      <c r="V13" s="22">
        <f t="shared" si="3"/>
        <v>100</v>
      </c>
      <c r="W13" s="22">
        <f t="shared" si="3"/>
        <v>-4236.5</v>
      </c>
      <c r="X13" s="22">
        <f t="shared" si="3"/>
        <v>-6703</v>
      </c>
      <c r="Y13" s="22">
        <f t="shared" si="3"/>
        <v>-11785</v>
      </c>
      <c r="Z13" s="22">
        <f t="shared" si="3"/>
        <v>-15620</v>
      </c>
      <c r="AA13" s="22">
        <f t="shared" si="3"/>
        <v>-20337.5</v>
      </c>
      <c r="AB13" s="348">
        <f t="shared" si="3"/>
        <v>-27536.5</v>
      </c>
      <c r="AC13" s="629">
        <f t="shared" si="3"/>
        <v>-29487.858572404381</v>
      </c>
      <c r="AD13" s="629">
        <f t="shared" si="3"/>
        <v>-31524.801187124322</v>
      </c>
      <c r="AE13" s="629">
        <f t="shared" si="3"/>
        <v>-33634.737124172447</v>
      </c>
      <c r="AF13" s="635">
        <f t="shared" si="3"/>
        <v>-35815.461269889594</v>
      </c>
    </row>
    <row r="14" spans="1:32" x14ac:dyDescent="0.2">
      <c r="G14" s="115"/>
    </row>
    <row r="15" spans="1:32" x14ac:dyDescent="0.2">
      <c r="A15" s="28" t="s">
        <v>489</v>
      </c>
      <c r="G15" s="115"/>
    </row>
    <row r="16" spans="1:32" x14ac:dyDescent="0.2">
      <c r="A16" s="331" t="s">
        <v>481</v>
      </c>
      <c r="B16" s="3" t="s">
        <v>201</v>
      </c>
      <c r="C16" s="22">
        <f>'Data Input'!D12</f>
        <v>24391</v>
      </c>
      <c r="D16" s="22">
        <f>'Data Input'!E12</f>
        <v>27479</v>
      </c>
      <c r="E16" s="22">
        <f>'Data Input'!F12</f>
        <v>30781</v>
      </c>
      <c r="F16" s="22">
        <f>'Data Input'!G12</f>
        <v>33998</v>
      </c>
      <c r="G16" s="106">
        <f>'Data Input'!H12</f>
        <v>36848</v>
      </c>
      <c r="H16" s="22">
        <f>'Data Input'!I12</f>
        <v>39007</v>
      </c>
      <c r="I16" s="22">
        <f>'Data Input'!J12</f>
        <v>41833</v>
      </c>
      <c r="J16" s="22">
        <f>'Data Input'!K12</f>
        <v>46470</v>
      </c>
      <c r="K16" s="22">
        <f>'Data Input'!L12</f>
        <v>48635</v>
      </c>
      <c r="L16" s="22">
        <f>'Data Input'!M12</f>
        <v>50346</v>
      </c>
      <c r="M16" s="22">
        <f>'Data Input'!N12</f>
        <v>55087</v>
      </c>
      <c r="N16" s="22">
        <f>'Data Input'!O12</f>
        <v>64369</v>
      </c>
      <c r="O16" s="22">
        <f>'Data Input'!P12</f>
        <v>67319</v>
      </c>
      <c r="P16" s="22">
        <f>'Data Input'!Q12</f>
        <v>71009</v>
      </c>
      <c r="Q16" s="22">
        <f>'Data Input'!R12</f>
        <v>74089</v>
      </c>
      <c r="R16" s="22">
        <f>'Data Input'!S12</f>
        <v>80371</v>
      </c>
      <c r="S16" s="22">
        <f>'Data Input'!T12</f>
        <v>83120</v>
      </c>
      <c r="T16" s="22">
        <f>'Data Input'!U12</f>
        <v>88356</v>
      </c>
      <c r="U16" s="22">
        <f>'Data Input'!V12</f>
        <v>92022</v>
      </c>
      <c r="V16" s="22">
        <f>'Data Input'!W12</f>
        <v>96608</v>
      </c>
      <c r="W16" s="22">
        <f>'Data Input'!X12</f>
        <v>99117</v>
      </c>
      <c r="X16" s="22">
        <f>'Data Input'!Y12</f>
        <v>103693</v>
      </c>
      <c r="Y16" s="22">
        <f>'Data Input'!Z12</f>
        <v>105954</v>
      </c>
      <c r="Z16" s="22">
        <f>'Data Input'!AA12</f>
        <v>109524</v>
      </c>
      <c r="AA16" s="22">
        <f>'Data Input'!AB12</f>
        <v>113801</v>
      </c>
      <c r="AB16" s="348">
        <f>'Data Input'!AC12</f>
        <v>116367</v>
      </c>
      <c r="AC16" s="629">
        <f>'Data Input'!AD12</f>
        <v>120891.15773981952</v>
      </c>
      <c r="AD16" s="629">
        <f>'Data Input'!AE12</f>
        <v>125674.54587496544</v>
      </c>
      <c r="AE16" s="629">
        <f>'Data Input'!AF12</f>
        <v>130724.77615093655</v>
      </c>
      <c r="AF16" s="635">
        <f>'Data Input'!AG12</f>
        <v>136066.48289917331</v>
      </c>
    </row>
    <row r="17" spans="1:32" x14ac:dyDescent="0.2">
      <c r="A17" s="331" t="s">
        <v>480</v>
      </c>
      <c r="B17" s="3" t="s">
        <v>201</v>
      </c>
      <c r="C17" s="38">
        <f>'Data Input'!D28</f>
        <v>20124</v>
      </c>
      <c r="D17" s="38">
        <f>'Data Input'!E28</f>
        <v>24697</v>
      </c>
      <c r="E17" s="38">
        <f>'Data Input'!F28</f>
        <v>27773</v>
      </c>
      <c r="F17" s="38">
        <f>'Data Input'!G28</f>
        <v>33711</v>
      </c>
      <c r="G17" s="137">
        <f>'Data Input'!H28</f>
        <v>34242</v>
      </c>
      <c r="H17" s="38">
        <f>'Data Input'!I28</f>
        <v>38092</v>
      </c>
      <c r="I17" s="38">
        <f>'Data Input'!J28</f>
        <v>43013</v>
      </c>
      <c r="J17" s="38">
        <f>'Data Input'!K28</f>
        <v>48901</v>
      </c>
      <c r="K17" s="38">
        <f>'Data Input'!L28</f>
        <v>54382</v>
      </c>
      <c r="L17" s="38">
        <f>'Data Input'!M28</f>
        <v>61039</v>
      </c>
      <c r="M17" s="38">
        <f>'Data Input'!N28</f>
        <v>68780</v>
      </c>
      <c r="N17" s="38">
        <f>'Data Input'!O28</f>
        <v>72429</v>
      </c>
      <c r="O17" s="38">
        <f>'Data Input'!P28</f>
        <v>75857</v>
      </c>
      <c r="P17" s="38">
        <f>'Data Input'!Q28</f>
        <v>79157</v>
      </c>
      <c r="Q17" s="38">
        <f>'Data Input'!R28</f>
        <v>82791</v>
      </c>
      <c r="R17" s="38">
        <f>'Data Input'!S28</f>
        <v>88694</v>
      </c>
      <c r="S17" s="38">
        <f>'Data Input'!T28</f>
        <v>94850</v>
      </c>
      <c r="T17" s="38">
        <f>'Data Input'!U28</f>
        <v>104917</v>
      </c>
      <c r="U17" s="38">
        <f>'Data Input'!V28</f>
        <v>106957</v>
      </c>
      <c r="V17" s="38">
        <f>'Data Input'!W28</f>
        <v>109112</v>
      </c>
      <c r="W17" s="38">
        <f>'Data Input'!X28</f>
        <v>114246</v>
      </c>
      <c r="X17" s="38">
        <f>'Data Input'!Y28</f>
        <v>115685</v>
      </c>
      <c r="Y17" s="38">
        <f>'Data Input'!Z28</f>
        <v>119864</v>
      </c>
      <c r="Z17" s="38">
        <f>'Data Input'!AA28</f>
        <v>130867</v>
      </c>
      <c r="AA17" s="38">
        <f>'Data Input'!AB28</f>
        <v>143076</v>
      </c>
      <c r="AB17" s="355">
        <f>'Data Input'!AC28</f>
        <v>156998</v>
      </c>
      <c r="AC17" s="630">
        <f>'Data Input'!AD28</f>
        <v>170805.87488462828</v>
      </c>
      <c r="AD17" s="630">
        <f>'Data Input'!AE28</f>
        <v>183733.14824921408</v>
      </c>
      <c r="AE17" s="630">
        <f>'Data Input'!AF28</f>
        <v>196139.25039928145</v>
      </c>
      <c r="AF17" s="636">
        <f>'Data Input'!AG28</f>
        <v>207697.4054389525</v>
      </c>
    </row>
    <row r="18" spans="1:32" x14ac:dyDescent="0.2">
      <c r="A18" s="331" t="s">
        <v>484</v>
      </c>
      <c r="B18" s="14" t="s">
        <v>31</v>
      </c>
      <c r="C18" s="22">
        <f>C16-C17</f>
        <v>4267</v>
      </c>
      <c r="D18" s="22">
        <f t="shared" ref="D18:AF18" si="4">D16-D17</f>
        <v>2782</v>
      </c>
      <c r="E18" s="22">
        <f t="shared" si="4"/>
        <v>3008</v>
      </c>
      <c r="F18" s="22">
        <f t="shared" si="4"/>
        <v>287</v>
      </c>
      <c r="G18" s="22">
        <f t="shared" si="4"/>
        <v>2606</v>
      </c>
      <c r="H18" s="22">
        <f t="shared" si="4"/>
        <v>915</v>
      </c>
      <c r="I18" s="22">
        <f t="shared" si="4"/>
        <v>-1180</v>
      </c>
      <c r="J18" s="22">
        <f t="shared" si="4"/>
        <v>-2431</v>
      </c>
      <c r="K18" s="22">
        <f t="shared" si="4"/>
        <v>-5747</v>
      </c>
      <c r="L18" s="22">
        <f t="shared" si="4"/>
        <v>-10693</v>
      </c>
      <c r="M18" s="22">
        <f t="shared" si="4"/>
        <v>-13693</v>
      </c>
      <c r="N18" s="22">
        <f t="shared" si="4"/>
        <v>-8060</v>
      </c>
      <c r="O18" s="22">
        <f t="shared" si="4"/>
        <v>-8538</v>
      </c>
      <c r="P18" s="22">
        <f t="shared" si="4"/>
        <v>-8148</v>
      </c>
      <c r="Q18" s="22">
        <f t="shared" si="4"/>
        <v>-8702</v>
      </c>
      <c r="R18" s="22">
        <f t="shared" si="4"/>
        <v>-8323</v>
      </c>
      <c r="S18" s="22">
        <f t="shared" si="4"/>
        <v>-11730</v>
      </c>
      <c r="T18" s="22">
        <f t="shared" si="4"/>
        <v>-16561</v>
      </c>
      <c r="U18" s="22">
        <f t="shared" si="4"/>
        <v>-14935</v>
      </c>
      <c r="V18" s="22">
        <f t="shared" si="4"/>
        <v>-12504</v>
      </c>
      <c r="W18" s="22">
        <f t="shared" si="4"/>
        <v>-15129</v>
      </c>
      <c r="X18" s="22">
        <f t="shared" si="4"/>
        <v>-11992</v>
      </c>
      <c r="Y18" s="22">
        <f t="shared" si="4"/>
        <v>-13910</v>
      </c>
      <c r="Z18" s="22">
        <f t="shared" si="4"/>
        <v>-21343</v>
      </c>
      <c r="AA18" s="22">
        <f t="shared" si="4"/>
        <v>-29275</v>
      </c>
      <c r="AB18" s="348">
        <f t="shared" si="4"/>
        <v>-40631</v>
      </c>
      <c r="AC18" s="629">
        <f t="shared" si="4"/>
        <v>-49914.717144808761</v>
      </c>
      <c r="AD18" s="629">
        <f t="shared" si="4"/>
        <v>-58058.602374248643</v>
      </c>
      <c r="AE18" s="629">
        <f t="shared" si="4"/>
        <v>-65414.474248344894</v>
      </c>
      <c r="AF18" s="635">
        <f t="shared" si="4"/>
        <v>-71630.922539779189</v>
      </c>
    </row>
    <row r="20" spans="1:32" x14ac:dyDescent="0.2">
      <c r="A20" s="331" t="s">
        <v>482</v>
      </c>
      <c r="B20" s="14" t="s">
        <v>31</v>
      </c>
      <c r="C20" s="22">
        <f>C16*0.5</f>
        <v>12195.5</v>
      </c>
      <c r="D20" s="22">
        <f t="shared" ref="D20:AF20" si="5">D16*0.5</f>
        <v>13739.5</v>
      </c>
      <c r="E20" s="22">
        <f t="shared" si="5"/>
        <v>15390.5</v>
      </c>
      <c r="F20" s="22">
        <f t="shared" si="5"/>
        <v>16999</v>
      </c>
      <c r="G20" s="22">
        <f t="shared" si="5"/>
        <v>18424</v>
      </c>
      <c r="H20" s="22">
        <f t="shared" si="5"/>
        <v>19503.5</v>
      </c>
      <c r="I20" s="22">
        <f t="shared" si="5"/>
        <v>20916.5</v>
      </c>
      <c r="J20" s="22">
        <f t="shared" si="5"/>
        <v>23235</v>
      </c>
      <c r="K20" s="22">
        <f t="shared" si="5"/>
        <v>24317.5</v>
      </c>
      <c r="L20" s="22">
        <f t="shared" si="5"/>
        <v>25173</v>
      </c>
      <c r="M20" s="22">
        <f t="shared" si="5"/>
        <v>27543.5</v>
      </c>
      <c r="N20" s="22">
        <f t="shared" si="5"/>
        <v>32184.5</v>
      </c>
      <c r="O20" s="22">
        <f t="shared" si="5"/>
        <v>33659.5</v>
      </c>
      <c r="P20" s="22">
        <f t="shared" si="5"/>
        <v>35504.5</v>
      </c>
      <c r="Q20" s="22">
        <f t="shared" si="5"/>
        <v>37044.5</v>
      </c>
      <c r="R20" s="22">
        <f t="shared" si="5"/>
        <v>40185.5</v>
      </c>
      <c r="S20" s="22">
        <f t="shared" si="5"/>
        <v>41560</v>
      </c>
      <c r="T20" s="22">
        <f t="shared" si="5"/>
        <v>44178</v>
      </c>
      <c r="U20" s="22">
        <f t="shared" si="5"/>
        <v>46011</v>
      </c>
      <c r="V20" s="22">
        <f t="shared" si="5"/>
        <v>48304</v>
      </c>
      <c r="W20" s="22">
        <f t="shared" si="5"/>
        <v>49558.5</v>
      </c>
      <c r="X20" s="22">
        <f t="shared" si="5"/>
        <v>51846.5</v>
      </c>
      <c r="Y20" s="22">
        <f t="shared" si="5"/>
        <v>52977</v>
      </c>
      <c r="Z20" s="22">
        <f t="shared" si="5"/>
        <v>54762</v>
      </c>
      <c r="AA20" s="22">
        <f t="shared" si="5"/>
        <v>56900.5</v>
      </c>
      <c r="AB20" s="348">
        <f t="shared" si="5"/>
        <v>58183.5</v>
      </c>
      <c r="AC20" s="629">
        <f t="shared" si="5"/>
        <v>60445.578869909761</v>
      </c>
      <c r="AD20" s="629">
        <f t="shared" si="5"/>
        <v>62837.272937482718</v>
      </c>
      <c r="AE20" s="629">
        <f t="shared" si="5"/>
        <v>65362.388075468276</v>
      </c>
      <c r="AF20" s="635">
        <f t="shared" si="5"/>
        <v>68033.241449586654</v>
      </c>
    </row>
    <row r="21" spans="1:32" x14ac:dyDescent="0.2">
      <c r="A21" s="579" t="s">
        <v>483</v>
      </c>
      <c r="B21" s="580" t="s">
        <v>31</v>
      </c>
      <c r="C21" s="581">
        <f>C17*0.5</f>
        <v>10062</v>
      </c>
      <c r="D21" s="581">
        <f t="shared" ref="D21:AF21" si="6">D17*0.5</f>
        <v>12348.5</v>
      </c>
      <c r="E21" s="581">
        <f t="shared" si="6"/>
        <v>13886.5</v>
      </c>
      <c r="F21" s="581">
        <f t="shared" si="6"/>
        <v>16855.5</v>
      </c>
      <c r="G21" s="581">
        <f t="shared" si="6"/>
        <v>17121</v>
      </c>
      <c r="H21" s="581">
        <f t="shared" si="6"/>
        <v>19046</v>
      </c>
      <c r="I21" s="581">
        <f t="shared" si="6"/>
        <v>21506.5</v>
      </c>
      <c r="J21" s="581">
        <f t="shared" si="6"/>
        <v>24450.5</v>
      </c>
      <c r="K21" s="581">
        <f t="shared" si="6"/>
        <v>27191</v>
      </c>
      <c r="L21" s="581">
        <f t="shared" si="6"/>
        <v>30519.5</v>
      </c>
      <c r="M21" s="581">
        <f t="shared" si="6"/>
        <v>34390</v>
      </c>
      <c r="N21" s="581">
        <f t="shared" si="6"/>
        <v>36214.5</v>
      </c>
      <c r="O21" s="581">
        <f t="shared" si="6"/>
        <v>37928.5</v>
      </c>
      <c r="P21" s="581">
        <f t="shared" si="6"/>
        <v>39578.5</v>
      </c>
      <c r="Q21" s="581">
        <f t="shared" si="6"/>
        <v>41395.5</v>
      </c>
      <c r="R21" s="581">
        <f t="shared" si="6"/>
        <v>44347</v>
      </c>
      <c r="S21" s="581">
        <f t="shared" si="6"/>
        <v>47425</v>
      </c>
      <c r="T21" s="581">
        <f t="shared" si="6"/>
        <v>52458.5</v>
      </c>
      <c r="U21" s="581">
        <f t="shared" si="6"/>
        <v>53478.5</v>
      </c>
      <c r="V21" s="581">
        <f t="shared" si="6"/>
        <v>54556</v>
      </c>
      <c r="W21" s="581">
        <f t="shared" si="6"/>
        <v>57123</v>
      </c>
      <c r="X21" s="581">
        <f t="shared" si="6"/>
        <v>57842.5</v>
      </c>
      <c r="Y21" s="581">
        <f t="shared" si="6"/>
        <v>59932</v>
      </c>
      <c r="Z21" s="581">
        <f t="shared" si="6"/>
        <v>65433.5</v>
      </c>
      <c r="AA21" s="581">
        <f t="shared" si="6"/>
        <v>71538</v>
      </c>
      <c r="AB21" s="355">
        <f t="shared" si="6"/>
        <v>78499</v>
      </c>
      <c r="AC21" s="630">
        <f t="shared" si="6"/>
        <v>85402.937442314142</v>
      </c>
      <c r="AD21" s="630">
        <f t="shared" si="6"/>
        <v>91866.574124607039</v>
      </c>
      <c r="AE21" s="630">
        <f t="shared" si="6"/>
        <v>98069.625199640723</v>
      </c>
      <c r="AF21" s="636">
        <f t="shared" si="6"/>
        <v>103848.70271947625</v>
      </c>
    </row>
    <row r="22" spans="1:32" x14ac:dyDescent="0.2">
      <c r="A22" s="331" t="s">
        <v>485</v>
      </c>
      <c r="B22" s="14" t="s">
        <v>31</v>
      </c>
      <c r="C22" s="22">
        <f>C20-C21</f>
        <v>2133.5</v>
      </c>
      <c r="D22" s="22">
        <f t="shared" ref="D22:AF22" si="7">D20-D21</f>
        <v>1391</v>
      </c>
      <c r="E22" s="22">
        <f t="shared" si="7"/>
        <v>1504</v>
      </c>
      <c r="F22" s="22">
        <f t="shared" si="7"/>
        <v>143.5</v>
      </c>
      <c r="G22" s="22">
        <f t="shared" si="7"/>
        <v>1303</v>
      </c>
      <c r="H22" s="22">
        <f t="shared" si="7"/>
        <v>457.5</v>
      </c>
      <c r="I22" s="22">
        <f t="shared" si="7"/>
        <v>-590</v>
      </c>
      <c r="J22" s="22">
        <f t="shared" si="7"/>
        <v>-1215.5</v>
      </c>
      <c r="K22" s="22">
        <f t="shared" si="7"/>
        <v>-2873.5</v>
      </c>
      <c r="L22" s="22">
        <f t="shared" si="7"/>
        <v>-5346.5</v>
      </c>
      <c r="M22" s="22">
        <f t="shared" si="7"/>
        <v>-6846.5</v>
      </c>
      <c r="N22" s="22">
        <f t="shared" si="7"/>
        <v>-4030</v>
      </c>
      <c r="O22" s="22">
        <f t="shared" si="7"/>
        <v>-4269</v>
      </c>
      <c r="P22" s="22">
        <f t="shared" si="7"/>
        <v>-4074</v>
      </c>
      <c r="Q22" s="22">
        <f t="shared" si="7"/>
        <v>-4351</v>
      </c>
      <c r="R22" s="22">
        <f t="shared" si="7"/>
        <v>-4161.5</v>
      </c>
      <c r="S22" s="22">
        <f t="shared" si="7"/>
        <v>-5865</v>
      </c>
      <c r="T22" s="22">
        <f t="shared" si="7"/>
        <v>-8280.5</v>
      </c>
      <c r="U22" s="22">
        <f t="shared" si="7"/>
        <v>-7467.5</v>
      </c>
      <c r="V22" s="22">
        <f t="shared" si="7"/>
        <v>-6252</v>
      </c>
      <c r="W22" s="22">
        <f t="shared" si="7"/>
        <v>-7564.5</v>
      </c>
      <c r="X22" s="22">
        <f t="shared" si="7"/>
        <v>-5996</v>
      </c>
      <c r="Y22" s="22">
        <f t="shared" si="7"/>
        <v>-6955</v>
      </c>
      <c r="Z22" s="22">
        <f t="shared" si="7"/>
        <v>-10671.5</v>
      </c>
      <c r="AA22" s="22">
        <f t="shared" si="7"/>
        <v>-14637.5</v>
      </c>
      <c r="AB22" s="348">
        <f t="shared" si="7"/>
        <v>-20315.5</v>
      </c>
      <c r="AC22" s="629">
        <f t="shared" si="7"/>
        <v>-24957.358572404381</v>
      </c>
      <c r="AD22" s="629">
        <f t="shared" si="7"/>
        <v>-29029.301187124322</v>
      </c>
      <c r="AE22" s="629">
        <f t="shared" si="7"/>
        <v>-32707.237124172447</v>
      </c>
      <c r="AF22" s="635">
        <f t="shared" si="7"/>
        <v>-35815.461269889594</v>
      </c>
    </row>
    <row r="24" spans="1:32" x14ac:dyDescent="0.2">
      <c r="A24" s="28" t="s">
        <v>492</v>
      </c>
    </row>
    <row r="25" spans="1:32" x14ac:dyDescent="0.2">
      <c r="A25" s="331" t="s">
        <v>490</v>
      </c>
      <c r="B25" s="331" t="s">
        <v>226</v>
      </c>
      <c r="C25" s="22"/>
      <c r="D25" s="22"/>
      <c r="E25" s="22"/>
      <c r="F25" s="22"/>
      <c r="G25" s="22">
        <f>liability!G11</f>
        <v>746.65187499999774</v>
      </c>
      <c r="H25" s="22">
        <f>liability!H11</f>
        <v>1618.3456249999999</v>
      </c>
      <c r="I25" s="22">
        <f>liability!I11</f>
        <v>2252.1831250000014</v>
      </c>
      <c r="J25" s="22">
        <f>liability!J11</f>
        <v>2676.4274999999998</v>
      </c>
      <c r="K25" s="22">
        <f>liability!K11</f>
        <v>3727.4987500000007</v>
      </c>
      <c r="L25" s="22">
        <f>liability!L11</f>
        <v>5475.6399999999976</v>
      </c>
      <c r="M25" s="22">
        <f>liability!M11</f>
        <v>6065.717499999997</v>
      </c>
      <c r="N25" s="22">
        <f>liability!N11</f>
        <v>2750.3574999999964</v>
      </c>
      <c r="O25" s="22">
        <f>liability!O11</f>
        <v>2645.717499999997</v>
      </c>
      <c r="P25" s="22">
        <f>liability!P11</f>
        <v>2112.1374999999953</v>
      </c>
      <c r="Q25" s="22">
        <f>liability!Q11</f>
        <v>2027.5249999999924</v>
      </c>
      <c r="R25" s="22">
        <f>liability!R11</f>
        <v>1492.7999999999938</v>
      </c>
      <c r="S25" s="22">
        <f>liability!S11</f>
        <v>2887.5749999999953</v>
      </c>
      <c r="T25" s="22">
        <f>liability!T11</f>
        <v>4560.4006249999929</v>
      </c>
      <c r="U25" s="22">
        <f>liability!U11</f>
        <v>2617.4881249999944</v>
      </c>
      <c r="V25" s="22">
        <f>liability!V11</f>
        <v>276.83999999999469</v>
      </c>
      <c r="W25" s="22">
        <f>liability!W11</f>
        <v>772.46767671427915</v>
      </c>
      <c r="X25" s="22">
        <f>liability!X11</f>
        <v>-1647.943947785725</v>
      </c>
      <c r="Y25" s="22">
        <f>liability!Y11</f>
        <v>-1236.5293332745659</v>
      </c>
      <c r="Z25" s="22">
        <f>liability!Z11</f>
        <v>1851.1560352254292</v>
      </c>
      <c r="AA25" s="22">
        <f>liability!AA11</f>
        <v>4815.5733102254362</v>
      </c>
      <c r="AB25" s="348">
        <f>liability!AB11</f>
        <v>9001.2793117254478</v>
      </c>
      <c r="AC25" s="629">
        <f>liability!AC11</f>
        <v>11508.649453994069</v>
      </c>
      <c r="AD25" s="629">
        <f>liability!AD11</f>
        <v>13013.897258302146</v>
      </c>
      <c r="AE25" s="629">
        <f>liability!AE11</f>
        <v>13774.378384187257</v>
      </c>
      <c r="AF25" s="635">
        <f>liability!AF11</f>
        <v>13660.746525199494</v>
      </c>
    </row>
    <row r="26" spans="1:32" x14ac:dyDescent="0.2">
      <c r="A26" s="331" t="s">
        <v>491</v>
      </c>
      <c r="B26" s="14" t="s">
        <v>31</v>
      </c>
      <c r="G26" s="38">
        <f>G12-G21</f>
        <v>126</v>
      </c>
      <c r="H26" s="38">
        <f>H12-H21</f>
        <v>1022.5</v>
      </c>
      <c r="I26" s="38">
        <f>I12-I21</f>
        <v>2208</v>
      </c>
      <c r="J26" s="38">
        <f>J12-J21</f>
        <v>2789</v>
      </c>
      <c r="K26" s="38">
        <f t="shared" ref="K26:AF26" si="8">K12-K21</f>
        <v>2394</v>
      </c>
      <c r="L26" s="38">
        <f t="shared" si="8"/>
        <v>3632</v>
      </c>
      <c r="M26" s="38">
        <f t="shared" si="8"/>
        <v>2170.5</v>
      </c>
      <c r="N26" s="38">
        <f>N12-N21</f>
        <v>-1486.5</v>
      </c>
      <c r="O26" s="38">
        <f>O12-O21</f>
        <v>-4822</v>
      </c>
      <c r="P26" s="38">
        <f t="shared" si="8"/>
        <v>-1740</v>
      </c>
      <c r="Q26" s="38">
        <f t="shared" si="8"/>
        <v>767.5</v>
      </c>
      <c r="R26" s="38">
        <f t="shared" si="8"/>
        <v>3717</v>
      </c>
      <c r="S26" s="38">
        <f>S12-S21</f>
        <v>5582</v>
      </c>
      <c r="T26" s="38">
        <f t="shared" si="8"/>
        <v>1814.5</v>
      </c>
      <c r="U26" s="38">
        <f t="shared" si="8"/>
        <v>-9762</v>
      </c>
      <c r="V26" s="38">
        <f t="shared" si="8"/>
        <v>-6352</v>
      </c>
      <c r="W26" s="38">
        <f t="shared" si="8"/>
        <v>-3328</v>
      </c>
      <c r="X26" s="38">
        <f t="shared" si="8"/>
        <v>707</v>
      </c>
      <c r="Y26" s="38">
        <f t="shared" si="8"/>
        <v>4830</v>
      </c>
      <c r="Z26" s="38">
        <f t="shared" si="8"/>
        <v>4948.5</v>
      </c>
      <c r="AA26" s="38">
        <f t="shared" si="8"/>
        <v>5700</v>
      </c>
      <c r="AB26" s="355">
        <f>AB12-AB21</f>
        <v>7221</v>
      </c>
      <c r="AC26" s="630">
        <f t="shared" si="8"/>
        <v>4530.5</v>
      </c>
      <c r="AD26" s="630">
        <f t="shared" si="8"/>
        <v>2495.5</v>
      </c>
      <c r="AE26" s="630">
        <f t="shared" si="8"/>
        <v>927.5</v>
      </c>
      <c r="AF26" s="636">
        <f t="shared" si="8"/>
        <v>0</v>
      </c>
    </row>
    <row r="27" spans="1:32" x14ac:dyDescent="0.2">
      <c r="A27" s="2" t="s">
        <v>493</v>
      </c>
      <c r="B27" s="14" t="s">
        <v>31</v>
      </c>
      <c r="G27" s="572">
        <f>SUM(G25:G26)</f>
        <v>872.65187499999774</v>
      </c>
      <c r="H27" s="572">
        <f t="shared" ref="H27:AF27" si="9">SUM(H25:H26)</f>
        <v>2640.8456249999999</v>
      </c>
      <c r="I27" s="572">
        <f t="shared" si="9"/>
        <v>4460.1831250000014</v>
      </c>
      <c r="J27" s="572">
        <f t="shared" si="9"/>
        <v>5465.4274999999998</v>
      </c>
      <c r="K27" s="572">
        <f t="shared" si="9"/>
        <v>6121.4987500000007</v>
      </c>
      <c r="L27" s="572">
        <f t="shared" si="9"/>
        <v>9107.6399999999976</v>
      </c>
      <c r="M27" s="572">
        <f t="shared" si="9"/>
        <v>8236.217499999997</v>
      </c>
      <c r="N27" s="572">
        <f t="shared" si="9"/>
        <v>1263.8574999999964</v>
      </c>
      <c r="O27" s="631">
        <f t="shared" si="9"/>
        <v>-2176.282500000003</v>
      </c>
      <c r="P27" s="572">
        <f t="shared" si="9"/>
        <v>372.13749999999527</v>
      </c>
      <c r="Q27" s="572">
        <f t="shared" si="9"/>
        <v>2795.0249999999924</v>
      </c>
      <c r="R27" s="572">
        <f t="shared" si="9"/>
        <v>5209.7999999999938</v>
      </c>
      <c r="S27" s="572">
        <f t="shared" si="9"/>
        <v>8469.5749999999953</v>
      </c>
      <c r="T27" s="572">
        <f t="shared" si="9"/>
        <v>6374.9006249999929</v>
      </c>
      <c r="U27" s="631">
        <f t="shared" si="9"/>
        <v>-7144.5118750000056</v>
      </c>
      <c r="V27" s="631">
        <f t="shared" si="9"/>
        <v>-6075.1600000000053</v>
      </c>
      <c r="W27" s="631">
        <f t="shared" si="9"/>
        <v>-2555.5323232857208</v>
      </c>
      <c r="X27" s="631">
        <f t="shared" si="9"/>
        <v>-940.94394778572496</v>
      </c>
      <c r="Y27" s="572">
        <f t="shared" si="9"/>
        <v>3593.4706667254341</v>
      </c>
      <c r="Z27" s="572">
        <f t="shared" si="9"/>
        <v>6799.6560352254292</v>
      </c>
      <c r="AA27" s="572">
        <f t="shared" si="9"/>
        <v>10515.573310225436</v>
      </c>
      <c r="AB27" s="626">
        <f t="shared" si="9"/>
        <v>16222.279311725448</v>
      </c>
      <c r="AC27" s="631">
        <f t="shared" si="9"/>
        <v>16039.149453994069</v>
      </c>
      <c r="AD27" s="631">
        <f t="shared" si="9"/>
        <v>15509.397258302146</v>
      </c>
      <c r="AE27" s="631">
        <f t="shared" si="9"/>
        <v>14701.878384187257</v>
      </c>
      <c r="AF27" s="637">
        <f t="shared" si="9"/>
        <v>13660.746525199494</v>
      </c>
    </row>
    <row r="29" spans="1:32" s="656" customFormat="1" x14ac:dyDescent="0.2">
      <c r="A29" s="656" t="s">
        <v>504</v>
      </c>
      <c r="G29" s="656">
        <f>liability!G15</f>
        <v>2090</v>
      </c>
      <c r="H29" s="656">
        <f>liability!H15</f>
        <v>1916</v>
      </c>
      <c r="I29" s="656">
        <f>liability!I15</f>
        <v>1742</v>
      </c>
      <c r="J29" s="656">
        <f>liability!J15</f>
        <v>1568</v>
      </c>
      <c r="K29" s="656">
        <f>liability!K15</f>
        <v>1394</v>
      </c>
      <c r="L29" s="656">
        <f>liability!L15</f>
        <v>1220</v>
      </c>
      <c r="M29" s="656">
        <f>liability!M15</f>
        <v>1046</v>
      </c>
      <c r="N29" s="656">
        <f>liability!N15</f>
        <v>871</v>
      </c>
      <c r="O29" s="656">
        <f>liability!O15</f>
        <v>698</v>
      </c>
      <c r="P29" s="656">
        <f>liability!P15</f>
        <v>524</v>
      </c>
      <c r="Q29" s="656">
        <f>liability!Q15</f>
        <v>350</v>
      </c>
      <c r="R29" s="656">
        <f>liability!R15</f>
        <v>176</v>
      </c>
      <c r="S29" s="656">
        <f>liability!S15</f>
        <v>0</v>
      </c>
      <c r="T29" s="656">
        <f>liability!T15</f>
        <v>0</v>
      </c>
      <c r="U29" s="656">
        <f>liability!U15</f>
        <v>0</v>
      </c>
      <c r="V29" s="656">
        <f>liability!V15</f>
        <v>0</v>
      </c>
      <c r="W29" s="656">
        <f>liability!W15</f>
        <v>0</v>
      </c>
      <c r="X29" s="656">
        <f>liability!X15</f>
        <v>0</v>
      </c>
      <c r="Y29" s="656">
        <f>liability!Y15</f>
        <v>0</v>
      </c>
      <c r="Z29" s="656">
        <f>liability!Z15</f>
        <v>0</v>
      </c>
      <c r="AA29" s="656">
        <f>liability!AA15</f>
        <v>0</v>
      </c>
      <c r="AB29" s="656">
        <f>liability!AB15</f>
        <v>0</v>
      </c>
    </row>
    <row r="30" spans="1:32" s="498" customFormat="1" x14ac:dyDescent="0.2">
      <c r="A30" s="498" t="s">
        <v>505</v>
      </c>
      <c r="G30" s="498">
        <f>liability!G12</f>
        <v>404.81750000000193</v>
      </c>
      <c r="H30" s="498">
        <f>liability!H12</f>
        <v>401.31750000000284</v>
      </c>
      <c r="I30" s="498">
        <f>liability!I12</f>
        <v>351.31750000000056</v>
      </c>
      <c r="J30" s="498">
        <f>liability!J12</f>
        <v>338.31749999999943</v>
      </c>
      <c r="K30" s="498">
        <f>liability!K12</f>
        <v>351.81750000000102</v>
      </c>
      <c r="L30" s="498">
        <f>liability!L12</f>
        <v>410.31750000000011</v>
      </c>
      <c r="M30" s="498">
        <f>liability!M12</f>
        <v>421.31750000000306</v>
      </c>
      <c r="N30" s="498">
        <f>liability!N12</f>
        <v>435.80031500000382</v>
      </c>
      <c r="O30" s="498">
        <f>liability!O12</f>
        <v>449.1789020000042</v>
      </c>
      <c r="P30" s="498">
        <f>liability!P12</f>
        <v>472.2073145000038</v>
      </c>
      <c r="Q30" s="498">
        <f>liability!Q12</f>
        <v>497.13549750000516</v>
      </c>
      <c r="R30" s="498">
        <f>liability!R12</f>
        <v>522.53073100000802</v>
      </c>
      <c r="S30" s="498">
        <f>liability!S12</f>
        <v>529.45758061765332</v>
      </c>
      <c r="T30" s="498">
        <f>liability!T12</f>
        <v>649.83554023529905</v>
      </c>
      <c r="U30" s="498">
        <f>liability!U12</f>
        <v>687.3208343529484</v>
      </c>
      <c r="V30" s="498">
        <f>liability!V12</f>
        <v>763.52104947059343</v>
      </c>
      <c r="W30" s="498">
        <f>liability!W12</f>
        <v>773.87541058824002</v>
      </c>
      <c r="X30" s="498">
        <f>liability!X12</f>
        <v>799.45422620588795</v>
      </c>
      <c r="Y30" s="498">
        <f>liability!Y12</f>
        <v>825.91103732353861</v>
      </c>
      <c r="Z30" s="498">
        <f>liability!Z12</f>
        <v>853.01835694118824</v>
      </c>
      <c r="AA30" s="498">
        <f>liability!AA12</f>
        <v>881.60331555883761</v>
      </c>
      <c r="AB30" s="498">
        <f>liability!AB12</f>
        <v>895.46956602647913</v>
      </c>
      <c r="AC30" s="498">
        <f>liability!AC12</f>
        <v>910.37871949425119</v>
      </c>
      <c r="AD30" s="498">
        <f>liability!AD12</f>
        <v>924.64029045566429</v>
      </c>
      <c r="AE30" s="498">
        <f>liability!AE12</f>
        <v>938.31987110463797</v>
      </c>
      <c r="AF30" s="498">
        <f>liability!AF12</f>
        <v>951.39729337327958</v>
      </c>
    </row>
    <row r="31" spans="1:32" s="498" customFormat="1" x14ac:dyDescent="0.2">
      <c r="A31" s="498" t="s">
        <v>506</v>
      </c>
      <c r="G31" s="498">
        <f>liability!G14+liability!G16+liability!G13</f>
        <v>214</v>
      </c>
      <c r="H31" s="498">
        <f>liability!H14+liability!H16+liability!H13</f>
        <v>175.5</v>
      </c>
      <c r="I31" s="498">
        <f>liability!I14+liability!I16+liability!I13</f>
        <v>12</v>
      </c>
      <c r="J31" s="498">
        <f>liability!J14+liability!J16+liability!J13</f>
        <v>-237.5</v>
      </c>
      <c r="K31" s="498">
        <f>liability!K14+liability!K16+liability!K13</f>
        <v>-453</v>
      </c>
      <c r="L31" s="498">
        <f>liability!L14+liability!L16+liability!L13</f>
        <v>-437.5</v>
      </c>
      <c r="M31" s="498">
        <f>liability!M14+liability!M16+liability!M13</f>
        <v>-404.5</v>
      </c>
      <c r="N31" s="498">
        <f>liability!N14+liability!N16+liability!N13</f>
        <v>-363.51718499999993</v>
      </c>
      <c r="O31" s="498">
        <f>liability!O14+liability!O16+liability!O13</f>
        <v>-315.138598</v>
      </c>
      <c r="P31" s="498">
        <f>liability!P14+liability!P16+liability!P13</f>
        <v>-267.6101855</v>
      </c>
      <c r="Q31" s="498">
        <f>liability!Q14+liability!Q16+liability!Q13</f>
        <v>-214.68200250000001</v>
      </c>
      <c r="R31" s="498">
        <f>liability!R14+liability!R16+liability!R13</f>
        <v>-155.78676899999999</v>
      </c>
      <c r="S31" s="498">
        <f>liability!S14+liability!S16+liability!S13</f>
        <v>-113.8452135</v>
      </c>
      <c r="T31" s="498">
        <f>liability!T14+liability!T16+liability!T13</f>
        <v>54.047452000000021</v>
      </c>
      <c r="U31" s="498">
        <f>liability!U14+liability!U16+liability!U13</f>
        <v>136.04745200000002</v>
      </c>
      <c r="V31" s="498">
        <f>liability!V14+liability!V16+liability!V13</f>
        <v>206.25326650000002</v>
      </c>
      <c r="W31" s="498">
        <f>liability!W14+liability!W16+liability!W13</f>
        <v>219.52161907142857</v>
      </c>
      <c r="X31" s="498">
        <f>liability!X14+liability!X16+liability!X13</f>
        <v>221.68283207142852</v>
      </c>
      <c r="Y31" s="498">
        <f>liability!Y14+liability!Y16+liability!Y13</f>
        <v>241.78614164285705</v>
      </c>
      <c r="Z31" s="498">
        <f>liability!Z14+liability!Z16+liability!Z13</f>
        <v>256.72569864285697</v>
      </c>
      <c r="AA31" s="498">
        <f>liability!AA14+liability!AA16+liability!AA13</f>
        <v>273.24096464285702</v>
      </c>
      <c r="AB31" s="498">
        <f>liability!AB14+liability!AB16+liability!AB13</f>
        <v>271.75466949285703</v>
      </c>
    </row>
    <row r="32" spans="1:32" s="498" customFormat="1" x14ac:dyDescent="0.2">
      <c r="A32" s="498" t="s">
        <v>298</v>
      </c>
      <c r="G32" s="499">
        <f>-(-G22-G25-G29-G30-G31)</f>
        <v>4758.4693749999997</v>
      </c>
      <c r="H32" s="499">
        <f t="shared" ref="H32:AF32" si="10">-(-H22-H25-H29-H30-H31)</f>
        <v>4568.6631250000028</v>
      </c>
      <c r="I32" s="499">
        <f t="shared" si="10"/>
        <v>3767.5006250000019</v>
      </c>
      <c r="J32" s="499">
        <f t="shared" si="10"/>
        <v>3129.744999999999</v>
      </c>
      <c r="K32" s="499">
        <f t="shared" si="10"/>
        <v>2146.8162500000017</v>
      </c>
      <c r="L32" s="499">
        <f t="shared" si="10"/>
        <v>1321.9574999999977</v>
      </c>
      <c r="M32" s="499">
        <f t="shared" si="10"/>
        <v>282.03500000000008</v>
      </c>
      <c r="N32" s="499">
        <f t="shared" si="10"/>
        <v>-336.35936999999967</v>
      </c>
      <c r="O32" s="499">
        <f t="shared" si="10"/>
        <v>-791.24219599999878</v>
      </c>
      <c r="P32" s="499">
        <f t="shared" si="10"/>
        <v>-1233.2653710000009</v>
      </c>
      <c r="Q32" s="499">
        <f t="shared" si="10"/>
        <v>-1691.0215050000024</v>
      </c>
      <c r="R32" s="499">
        <f t="shared" si="10"/>
        <v>-2125.956037999998</v>
      </c>
      <c r="S32" s="499">
        <f t="shared" si="10"/>
        <v>-2561.812632882351</v>
      </c>
      <c r="T32" s="499">
        <f t="shared" si="10"/>
        <v>-3016.2163827647082</v>
      </c>
      <c r="U32" s="499">
        <f t="shared" si="10"/>
        <v>-4026.6435886470572</v>
      </c>
      <c r="V32" s="499">
        <f t="shared" si="10"/>
        <v>-5005.385684029412</v>
      </c>
      <c r="W32" s="499">
        <f t="shared" si="10"/>
        <v>-5798.6352936260528</v>
      </c>
      <c r="X32" s="499">
        <f t="shared" si="10"/>
        <v>-6622.8068895084089</v>
      </c>
      <c r="Y32" s="499">
        <f t="shared" si="10"/>
        <v>-7123.8321543081702</v>
      </c>
      <c r="Z32" s="499">
        <f t="shared" si="10"/>
        <v>-7710.5999091905251</v>
      </c>
      <c r="AA32" s="499">
        <f t="shared" si="10"/>
        <v>-8667.0824095728694</v>
      </c>
      <c r="AB32" s="499">
        <f t="shared" si="10"/>
        <v>-10146.996452755217</v>
      </c>
      <c r="AC32" s="499">
        <f t="shared" si="10"/>
        <v>-12538.330398916061</v>
      </c>
      <c r="AD32" s="499">
        <f t="shared" si="10"/>
        <v>-15090.763638366512</v>
      </c>
      <c r="AE32" s="499">
        <f t="shared" si="10"/>
        <v>-17994.538868880551</v>
      </c>
      <c r="AF32" s="499">
        <f t="shared" si="10"/>
        <v>-21203.31745131682</v>
      </c>
    </row>
    <row r="33" spans="1:33" x14ac:dyDescent="0.2">
      <c r="A33" s="331" t="s">
        <v>495</v>
      </c>
      <c r="B33" s="331" t="s">
        <v>470</v>
      </c>
      <c r="G33" s="22">
        <f>liability!G17</f>
        <v>4758.4693749999997</v>
      </c>
      <c r="H33" s="22">
        <f>liability!H17</f>
        <v>4568.6631250000028</v>
      </c>
      <c r="I33" s="22">
        <f>liability!I17</f>
        <v>4017.5006250000019</v>
      </c>
      <c r="J33" s="22">
        <f>liability!J17</f>
        <v>3129.744999999999</v>
      </c>
      <c r="K33" s="22">
        <f>liability!K17</f>
        <v>2146.8162500000017</v>
      </c>
      <c r="L33" s="22">
        <f>liability!L17</f>
        <v>1321.9574999999977</v>
      </c>
      <c r="M33" s="22">
        <f>liability!M17</f>
        <v>282.03500000000008</v>
      </c>
      <c r="N33" s="22">
        <f>liability!N17</f>
        <v>-336.35936999999967</v>
      </c>
      <c r="O33" s="22">
        <f>liability!O17</f>
        <v>-791.24219599999878</v>
      </c>
      <c r="P33" s="22">
        <f>liability!P17</f>
        <v>-1233.2653710000009</v>
      </c>
      <c r="Q33" s="22">
        <f>liability!Q17</f>
        <v>-1691.0215050000024</v>
      </c>
      <c r="R33" s="22">
        <f>liability!R17</f>
        <v>-2125.956037999998</v>
      </c>
      <c r="S33" s="22">
        <f>liability!S17</f>
        <v>-2561.812632882351</v>
      </c>
      <c r="T33" s="22">
        <f>liability!T17</f>
        <v>-3016.2163827647082</v>
      </c>
      <c r="U33" s="22">
        <f>liability!U17</f>
        <v>-4026.6435886470572</v>
      </c>
      <c r="V33" s="22">
        <f>liability!V17</f>
        <v>-5005.385684029412</v>
      </c>
      <c r="W33" s="22">
        <f>liability!W17</f>
        <v>-5798.6352936260528</v>
      </c>
      <c r="X33" s="22">
        <f>liability!X17</f>
        <v>-6622.8068895084089</v>
      </c>
      <c r="Y33" s="22">
        <f>liability!Y17</f>
        <v>-7123.8321543081702</v>
      </c>
      <c r="Z33" s="22">
        <f>liability!Z17</f>
        <v>-7710.5999091905251</v>
      </c>
      <c r="AA33" s="22">
        <f>liability!AA17</f>
        <v>-8667.0824095728694</v>
      </c>
      <c r="AB33" s="348">
        <f>liability!AB17</f>
        <v>-10146.996452755217</v>
      </c>
      <c r="AC33" s="629">
        <f>liability!AC17</f>
        <v>-12270.54140867866</v>
      </c>
      <c r="AD33" s="629">
        <f>liability!AD17</f>
        <v>-14828.832650718925</v>
      </c>
      <c r="AE33" s="629">
        <f>liability!AE17</f>
        <v>-17739.728708798732</v>
      </c>
      <c r="AF33" s="635">
        <f>liability!AF17</f>
        <v>-20955.899667972204</v>
      </c>
    </row>
    <row r="34" spans="1:33" x14ac:dyDescent="0.2">
      <c r="A34" s="331" t="s">
        <v>494</v>
      </c>
      <c r="B34" s="14" t="s">
        <v>66</v>
      </c>
      <c r="G34" s="655">
        <f>IF((G27+G29)&lt; 0,(G27+G29),0)</f>
        <v>0</v>
      </c>
      <c r="H34" s="655">
        <f t="shared" ref="H34:AA34" si="11">IF((H27+H29)&lt; 0,(H27+H29),0)</f>
        <v>0</v>
      </c>
      <c r="I34" s="655">
        <f t="shared" si="11"/>
        <v>0</v>
      </c>
      <c r="J34" s="655">
        <f t="shared" si="11"/>
        <v>0</v>
      </c>
      <c r="K34" s="655">
        <f t="shared" si="11"/>
        <v>0</v>
      </c>
      <c r="L34" s="655">
        <f t="shared" si="11"/>
        <v>0</v>
      </c>
      <c r="M34" s="655">
        <f>IF((M27+M29)&lt; 0,(M27+M29),0)</f>
        <v>0</v>
      </c>
      <c r="N34" s="655">
        <f t="shared" si="11"/>
        <v>0</v>
      </c>
      <c r="O34" s="655">
        <f t="shared" si="11"/>
        <v>-1478.282500000003</v>
      </c>
      <c r="P34" s="655">
        <f>IF((P27+P29)&lt; 0,(P27+P29),0)</f>
        <v>0</v>
      </c>
      <c r="Q34" s="655">
        <f t="shared" si="11"/>
        <v>0</v>
      </c>
      <c r="R34" s="655">
        <f>IF((R27+R29)&lt; 0,(R27+R29),0)</f>
        <v>0</v>
      </c>
      <c r="S34" s="655">
        <f t="shared" si="11"/>
        <v>0</v>
      </c>
      <c r="T34" s="655">
        <f t="shared" si="11"/>
        <v>0</v>
      </c>
      <c r="U34" s="655">
        <f t="shared" si="11"/>
        <v>-7144.5118750000056</v>
      </c>
      <c r="V34" s="655">
        <f>IF((V27+V29)&lt; 0,(V27+V29),0)</f>
        <v>-6075.1600000000053</v>
      </c>
      <c r="W34" s="655">
        <f t="shared" si="11"/>
        <v>-2555.5323232857208</v>
      </c>
      <c r="X34" s="655">
        <f t="shared" si="11"/>
        <v>-940.94394778572496</v>
      </c>
      <c r="Y34" s="655">
        <f t="shared" si="11"/>
        <v>0</v>
      </c>
      <c r="Z34" s="655">
        <f t="shared" si="11"/>
        <v>0</v>
      </c>
      <c r="AA34" s="655">
        <f t="shared" si="11"/>
        <v>0</v>
      </c>
      <c r="AB34" s="655">
        <f>IF((AB27+AB29)&lt; 0,(AB27+AB29),0)</f>
        <v>0</v>
      </c>
      <c r="AC34" s="629">
        <f>IF(AC27&lt; 0,AC27,0)</f>
        <v>0</v>
      </c>
      <c r="AD34" s="629">
        <f>IF(AD27&lt; 0,AD27,0)</f>
        <v>0</v>
      </c>
      <c r="AE34" s="629">
        <f>IF(AE27&lt; 0,AE27,0)</f>
        <v>0</v>
      </c>
      <c r="AF34" s="635">
        <f>IF(AF27&lt; 0,AF27,0)</f>
        <v>0</v>
      </c>
    </row>
    <row r="36" spans="1:33" x14ac:dyDescent="0.2">
      <c r="A36" s="2" t="s">
        <v>471</v>
      </c>
      <c r="G36" s="571">
        <f>G33-G34</f>
        <v>4758.4693749999997</v>
      </c>
      <c r="H36" s="571">
        <f>H33-H34</f>
        <v>4568.6631250000028</v>
      </c>
      <c r="I36" s="571">
        <f>I33-I34</f>
        <v>4017.5006250000019</v>
      </c>
      <c r="J36" s="571">
        <f>J33-J34</f>
        <v>3129.744999999999</v>
      </c>
      <c r="K36" s="571">
        <f>K33-K34</f>
        <v>2146.8162500000017</v>
      </c>
      <c r="L36" s="571">
        <f>L33-L34</f>
        <v>1321.9574999999977</v>
      </c>
      <c r="M36" s="571">
        <f>M33-M34</f>
        <v>282.03500000000008</v>
      </c>
      <c r="N36" s="571">
        <f>N33-N34</f>
        <v>-336.35936999999967</v>
      </c>
      <c r="O36" s="646">
        <f>O33-O34</f>
        <v>687.0403040000042</v>
      </c>
      <c r="P36" s="571">
        <f>P33-P34</f>
        <v>-1233.2653710000009</v>
      </c>
      <c r="Q36" s="571">
        <f>Q33-Q34</f>
        <v>-1691.0215050000024</v>
      </c>
      <c r="R36" s="571">
        <f>R33-R34</f>
        <v>-2125.956037999998</v>
      </c>
      <c r="S36" s="571">
        <f>S33-S34</f>
        <v>-2561.812632882351</v>
      </c>
      <c r="T36" s="571">
        <f>T33-T34</f>
        <v>-3016.2163827647082</v>
      </c>
      <c r="U36" s="646">
        <f>U33-U34</f>
        <v>3117.8682863529484</v>
      </c>
      <c r="V36" s="646">
        <f>V33-V34</f>
        <v>1069.7743159705933</v>
      </c>
      <c r="W36" s="571">
        <f>W33-W34</f>
        <v>-3243.1029703403319</v>
      </c>
      <c r="X36" s="571">
        <f>X33-X34</f>
        <v>-5681.8629417226839</v>
      </c>
      <c r="Y36" s="571">
        <f>Y33-Y34</f>
        <v>-7123.8321543081702</v>
      </c>
      <c r="Z36" s="571">
        <f>Z33-Z34</f>
        <v>-7710.5999091905251</v>
      </c>
      <c r="AA36" s="571">
        <f>AA33-AA34</f>
        <v>-8667.0824095728694</v>
      </c>
      <c r="AB36" s="627">
        <f>AB33-AB34</f>
        <v>-10146.996452755217</v>
      </c>
      <c r="AC36" s="632">
        <f>AC33-AC34</f>
        <v>-12270.54140867866</v>
      </c>
      <c r="AD36" s="632">
        <f>AD33-AD34</f>
        <v>-14828.832650718925</v>
      </c>
      <c r="AE36" s="632">
        <f>AE33-AE34</f>
        <v>-17739.728708798732</v>
      </c>
      <c r="AF36" s="638">
        <f>AF33-AF34</f>
        <v>-20955.899667972204</v>
      </c>
    </row>
    <row r="37" spans="1:33" x14ac:dyDescent="0.2">
      <c r="A37" s="331" t="s">
        <v>472</v>
      </c>
      <c r="B37" s="331" t="s">
        <v>473</v>
      </c>
      <c r="N37" s="22">
        <v>0</v>
      </c>
      <c r="O37" s="22">
        <v>0</v>
      </c>
      <c r="P37" s="22">
        <v>0</v>
      </c>
      <c r="Q37" s="22">
        <v>0</v>
      </c>
      <c r="R37" s="22">
        <v>0</v>
      </c>
      <c r="S37" s="22">
        <v>0</v>
      </c>
      <c r="T37" s="22">
        <v>0</v>
      </c>
      <c r="U37" s="22">
        <v>0</v>
      </c>
      <c r="V37" s="22">
        <v>0</v>
      </c>
      <c r="W37" s="22">
        <v>0</v>
      </c>
      <c r="X37" s="22">
        <v>0</v>
      </c>
      <c r="Y37" s="22">
        <v>0</v>
      </c>
      <c r="Z37" s="22">
        <v>0</v>
      </c>
      <c r="AA37" s="22">
        <v>0</v>
      </c>
      <c r="AB37" s="348">
        <v>0</v>
      </c>
      <c r="AC37" s="629">
        <v>0</v>
      </c>
      <c r="AD37" s="629">
        <v>0</v>
      </c>
      <c r="AE37" s="629">
        <v>0</v>
      </c>
      <c r="AF37" s="635">
        <v>0</v>
      </c>
    </row>
    <row r="38" spans="1:33" x14ac:dyDescent="0.2">
      <c r="A38" s="331"/>
      <c r="B38" s="331"/>
      <c r="N38" s="22"/>
      <c r="O38" s="22"/>
      <c r="P38" s="22"/>
      <c r="Q38" s="22"/>
      <c r="R38" s="22"/>
      <c r="S38" s="22"/>
      <c r="T38" s="22"/>
      <c r="U38" s="22"/>
      <c r="V38" s="22"/>
      <c r="W38" s="22"/>
      <c r="X38" s="22"/>
      <c r="Y38" s="22"/>
      <c r="Z38" s="22"/>
      <c r="AA38" s="22"/>
      <c r="AB38" s="348"/>
      <c r="AC38" s="629"/>
      <c r="AD38" s="629"/>
      <c r="AE38" s="629"/>
      <c r="AF38" s="635"/>
    </row>
    <row r="39" spans="1:33" ht="15.75" x14ac:dyDescent="0.25">
      <c r="A39" s="18" t="s">
        <v>474</v>
      </c>
      <c r="B39" s="18"/>
      <c r="C39" s="18"/>
      <c r="D39" s="18"/>
      <c r="E39" s="18"/>
      <c r="F39" s="18"/>
      <c r="G39" s="573">
        <f t="shared" ref="G39:M39" si="12">-IF((G36+G37)&lt;0,G36+G37,0)</f>
        <v>0</v>
      </c>
      <c r="H39" s="573">
        <f t="shared" si="12"/>
        <v>0</v>
      </c>
      <c r="I39" s="573">
        <f t="shared" si="12"/>
        <v>0</v>
      </c>
      <c r="J39" s="573">
        <f t="shared" si="12"/>
        <v>0</v>
      </c>
      <c r="K39" s="573">
        <f t="shared" si="12"/>
        <v>0</v>
      </c>
      <c r="L39" s="573">
        <f t="shared" si="12"/>
        <v>0</v>
      </c>
      <c r="M39" s="573">
        <f t="shared" si="12"/>
        <v>0</v>
      </c>
      <c r="N39" s="573">
        <f>-IF((N36+N37)&lt;0,N36+N37,0)</f>
        <v>336.35936999999967</v>
      </c>
      <c r="O39" s="573">
        <f t="shared" ref="O39:AF39" si="13">-IF((O36+O37)&lt;0,O36+O37,0)</f>
        <v>0</v>
      </c>
      <c r="P39" s="573">
        <f t="shared" si="13"/>
        <v>1233.2653710000009</v>
      </c>
      <c r="Q39" s="573">
        <f t="shared" si="13"/>
        <v>1691.0215050000024</v>
      </c>
      <c r="R39" s="573">
        <f>-IF((R36+R37)&lt;0,R36+R37,0)</f>
        <v>2125.956037999998</v>
      </c>
      <c r="S39" s="573">
        <f t="shared" si="13"/>
        <v>2561.812632882351</v>
      </c>
      <c r="T39" s="573">
        <f t="shared" si="13"/>
        <v>3016.2163827647082</v>
      </c>
      <c r="U39" s="573">
        <f t="shared" si="13"/>
        <v>0</v>
      </c>
      <c r="V39" s="573">
        <f t="shared" si="13"/>
        <v>0</v>
      </c>
      <c r="W39" s="573">
        <f t="shared" si="13"/>
        <v>3243.1029703403319</v>
      </c>
      <c r="X39" s="573">
        <f t="shared" si="13"/>
        <v>5681.8629417226839</v>
      </c>
      <c r="Y39" s="573">
        <f t="shared" si="13"/>
        <v>7123.8321543081702</v>
      </c>
      <c r="Z39" s="573">
        <f t="shared" si="13"/>
        <v>7710.5999091905251</v>
      </c>
      <c r="AA39" s="573">
        <f t="shared" si="13"/>
        <v>8667.0824095728694</v>
      </c>
      <c r="AB39" s="628">
        <f t="shared" si="13"/>
        <v>10146.996452755217</v>
      </c>
      <c r="AC39" s="633">
        <f t="shared" si="13"/>
        <v>12270.54140867866</v>
      </c>
      <c r="AD39" s="633">
        <f t="shared" si="13"/>
        <v>14828.832650718925</v>
      </c>
      <c r="AE39" s="633">
        <f t="shared" si="13"/>
        <v>17739.728708798732</v>
      </c>
      <c r="AF39" s="639">
        <f t="shared" si="13"/>
        <v>20955.899667972204</v>
      </c>
    </row>
    <row r="41" spans="1:33" ht="15.75" x14ac:dyDescent="0.25">
      <c r="A41" s="585" t="s">
        <v>496</v>
      </c>
      <c r="B41" s="586"/>
      <c r="C41" s="586"/>
      <c r="D41" s="586"/>
      <c r="E41" s="586"/>
      <c r="F41" s="586"/>
      <c r="G41" s="573">
        <f>G39</f>
        <v>0</v>
      </c>
      <c r="H41" s="573">
        <f>H39-G39</f>
        <v>0</v>
      </c>
      <c r="I41" s="573">
        <f t="shared" ref="I41:N41" si="14">I39-H39</f>
        <v>0</v>
      </c>
      <c r="J41" s="573">
        <f t="shared" si="14"/>
        <v>0</v>
      </c>
      <c r="K41" s="573">
        <f t="shared" si="14"/>
        <v>0</v>
      </c>
      <c r="L41" s="573">
        <f t="shared" si="14"/>
        <v>0</v>
      </c>
      <c r="M41" s="573">
        <f t="shared" si="14"/>
        <v>0</v>
      </c>
      <c r="N41" s="573">
        <f t="shared" si="14"/>
        <v>336.35936999999967</v>
      </c>
      <c r="O41" s="573">
        <f>O39-N39</f>
        <v>-336.35936999999967</v>
      </c>
      <c r="P41" s="573">
        <f t="shared" ref="P41:AF41" si="15">P39-O39</f>
        <v>1233.2653710000009</v>
      </c>
      <c r="Q41" s="573">
        <f t="shared" si="15"/>
        <v>457.75613400000157</v>
      </c>
      <c r="R41" s="573">
        <f t="shared" si="15"/>
        <v>434.93453299999555</v>
      </c>
      <c r="S41" s="573">
        <f t="shared" si="15"/>
        <v>435.85659488235297</v>
      </c>
      <c r="T41" s="573">
        <f t="shared" si="15"/>
        <v>454.40374988235726</v>
      </c>
      <c r="U41" s="573">
        <f t="shared" si="15"/>
        <v>-3016.2163827647082</v>
      </c>
      <c r="V41" s="573">
        <f t="shared" si="15"/>
        <v>0</v>
      </c>
      <c r="W41" s="573">
        <f t="shared" si="15"/>
        <v>3243.1029703403319</v>
      </c>
      <c r="X41" s="573">
        <f>X39-W39</f>
        <v>2438.759971382352</v>
      </c>
      <c r="Y41" s="573">
        <f t="shared" si="15"/>
        <v>1441.9692125854863</v>
      </c>
      <c r="Z41" s="573">
        <f t="shared" si="15"/>
        <v>586.76775488235489</v>
      </c>
      <c r="AA41" s="573">
        <f t="shared" si="15"/>
        <v>956.48250038234437</v>
      </c>
      <c r="AB41" s="628">
        <f t="shared" si="15"/>
        <v>1479.9140431823471</v>
      </c>
      <c r="AC41" s="633">
        <f t="shared" si="15"/>
        <v>2123.5449559234439</v>
      </c>
      <c r="AD41" s="633">
        <f t="shared" si="15"/>
        <v>2558.2912420402645</v>
      </c>
      <c r="AE41" s="633">
        <f t="shared" si="15"/>
        <v>2910.8960580798066</v>
      </c>
      <c r="AF41" s="639">
        <f t="shared" si="15"/>
        <v>3216.1709591734725</v>
      </c>
    </row>
    <row r="43" spans="1:33" x14ac:dyDescent="0.2">
      <c r="A43" t="str">
        <f>A33</f>
        <v>Accrued Benefit Liability (Asset) before any valuation allowance (50% share)</v>
      </c>
      <c r="G43" s="22">
        <f>G33</f>
        <v>4758.4693749999997</v>
      </c>
      <c r="H43" s="22">
        <f>H33</f>
        <v>4568.6631250000028</v>
      </c>
      <c r="I43" s="22">
        <f>I33</f>
        <v>4017.5006250000019</v>
      </c>
      <c r="J43" s="22">
        <f>J33</f>
        <v>3129.744999999999</v>
      </c>
      <c r="K43" s="22">
        <f>K33</f>
        <v>2146.8162500000017</v>
      </c>
      <c r="L43" s="22">
        <f>L33</f>
        <v>1321.9574999999977</v>
      </c>
      <c r="M43" s="22">
        <f>M33</f>
        <v>282.03500000000008</v>
      </c>
      <c r="N43" s="22">
        <f>N33</f>
        <v>-336.35936999999967</v>
      </c>
      <c r="O43" s="22">
        <f>O33</f>
        <v>-791.24219599999878</v>
      </c>
      <c r="P43" s="22">
        <f>P33</f>
        <v>-1233.2653710000009</v>
      </c>
      <c r="Q43" s="22">
        <f>Q33</f>
        <v>-1691.0215050000024</v>
      </c>
      <c r="R43" s="22">
        <f>R33</f>
        <v>-2125.956037999998</v>
      </c>
      <c r="S43" s="22">
        <f>S33</f>
        <v>-2561.812632882351</v>
      </c>
      <c r="T43" s="22">
        <f>T33</f>
        <v>-3016.2163827647082</v>
      </c>
      <c r="U43" s="22">
        <f>U33</f>
        <v>-4026.6435886470572</v>
      </c>
      <c r="V43" s="22">
        <f>V33</f>
        <v>-5005.385684029412</v>
      </c>
      <c r="W43" s="22">
        <f>W33</f>
        <v>-5798.6352936260528</v>
      </c>
      <c r="X43" s="22">
        <f>X33</f>
        <v>-6622.8068895084089</v>
      </c>
      <c r="Y43" s="22">
        <f>Y33</f>
        <v>-7123.8321543081702</v>
      </c>
      <c r="Z43" s="22">
        <f>Z33</f>
        <v>-7710.5999091905251</v>
      </c>
      <c r="AA43" s="22">
        <f>AA33</f>
        <v>-8667.0824095728694</v>
      </c>
      <c r="AB43" s="348">
        <f>AB33</f>
        <v>-10146.996452755217</v>
      </c>
      <c r="AC43" s="629">
        <f>AC33</f>
        <v>-12270.54140867866</v>
      </c>
      <c r="AD43" s="629">
        <f>AD33</f>
        <v>-14828.832650718925</v>
      </c>
      <c r="AE43" s="629">
        <f>AE33</f>
        <v>-17739.728708798732</v>
      </c>
      <c r="AF43" s="635">
        <f>AF33</f>
        <v>-20955.899667972204</v>
      </c>
    </row>
    <row r="44" spans="1:33" x14ac:dyDescent="0.2">
      <c r="A44" s="331" t="s">
        <v>475</v>
      </c>
      <c r="G44" s="22">
        <f t="shared" ref="G44:M44" si="16">G39</f>
        <v>0</v>
      </c>
      <c r="H44" s="22">
        <f t="shared" si="16"/>
        <v>0</v>
      </c>
      <c r="I44" s="22">
        <f t="shared" si="16"/>
        <v>0</v>
      </c>
      <c r="J44" s="22">
        <f t="shared" si="16"/>
        <v>0</v>
      </c>
      <c r="K44" s="22">
        <f t="shared" si="16"/>
        <v>0</v>
      </c>
      <c r="L44" s="22">
        <f t="shared" si="16"/>
        <v>0</v>
      </c>
      <c r="M44" s="22">
        <f t="shared" si="16"/>
        <v>0</v>
      </c>
      <c r="N44" s="22">
        <f>N39</f>
        <v>336.35936999999967</v>
      </c>
      <c r="O44" s="22">
        <f t="shared" ref="O44:AF44" si="17">O39</f>
        <v>0</v>
      </c>
      <c r="P44" s="22">
        <f t="shared" si="17"/>
        <v>1233.2653710000009</v>
      </c>
      <c r="Q44" s="22">
        <f t="shared" si="17"/>
        <v>1691.0215050000024</v>
      </c>
      <c r="R44" s="22">
        <f t="shared" si="17"/>
        <v>2125.956037999998</v>
      </c>
      <c r="S44" s="22">
        <f t="shared" si="17"/>
        <v>2561.812632882351</v>
      </c>
      <c r="T44" s="22">
        <f t="shared" si="17"/>
        <v>3016.2163827647082</v>
      </c>
      <c r="U44" s="22">
        <f t="shared" si="17"/>
        <v>0</v>
      </c>
      <c r="V44" s="22">
        <f t="shared" si="17"/>
        <v>0</v>
      </c>
      <c r="W44" s="22">
        <f t="shared" si="17"/>
        <v>3243.1029703403319</v>
      </c>
      <c r="X44" s="22">
        <f t="shared" si="17"/>
        <v>5681.8629417226839</v>
      </c>
      <c r="Y44" s="22">
        <f t="shared" si="17"/>
        <v>7123.8321543081702</v>
      </c>
      <c r="Z44" s="22">
        <f t="shared" si="17"/>
        <v>7710.5999091905251</v>
      </c>
      <c r="AA44" s="22">
        <f t="shared" si="17"/>
        <v>8667.0824095728694</v>
      </c>
      <c r="AB44" s="348">
        <f t="shared" si="17"/>
        <v>10146.996452755217</v>
      </c>
      <c r="AC44" s="629">
        <f t="shared" si="17"/>
        <v>12270.54140867866</v>
      </c>
      <c r="AD44" s="629">
        <f t="shared" si="17"/>
        <v>14828.832650718925</v>
      </c>
      <c r="AE44" s="629">
        <f t="shared" si="17"/>
        <v>17739.728708798732</v>
      </c>
      <c r="AF44" s="635">
        <f t="shared" si="17"/>
        <v>20955.899667972204</v>
      </c>
    </row>
    <row r="45" spans="1:33" x14ac:dyDescent="0.2">
      <c r="Q45"/>
      <c r="R45"/>
      <c r="S45"/>
      <c r="T45"/>
      <c r="U45"/>
      <c r="V45"/>
      <c r="W45"/>
      <c r="X45"/>
      <c r="Y45"/>
      <c r="Z45"/>
      <c r="AA45"/>
    </row>
    <row r="46" spans="1:33" ht="16.5" thickBot="1" x14ac:dyDescent="0.3">
      <c r="A46" s="18" t="s">
        <v>503</v>
      </c>
      <c r="B46" s="18"/>
      <c r="C46" s="18"/>
      <c r="D46" s="18"/>
      <c r="E46" s="18"/>
      <c r="F46" s="18"/>
      <c r="G46" s="27">
        <f t="shared" ref="G46:M46" si="18">G43+G44</f>
        <v>4758.4693749999997</v>
      </c>
      <c r="H46" s="27">
        <f t="shared" si="18"/>
        <v>4568.6631250000028</v>
      </c>
      <c r="I46" s="27">
        <f t="shared" si="18"/>
        <v>4017.5006250000019</v>
      </c>
      <c r="J46" s="27">
        <f t="shared" si="18"/>
        <v>3129.744999999999</v>
      </c>
      <c r="K46" s="27">
        <f t="shared" si="18"/>
        <v>2146.8162500000017</v>
      </c>
      <c r="L46" s="27">
        <f t="shared" si="18"/>
        <v>1321.9574999999977</v>
      </c>
      <c r="M46" s="27">
        <f t="shared" si="18"/>
        <v>282.03500000000008</v>
      </c>
      <c r="N46" s="27">
        <f>N43+N44</f>
        <v>0</v>
      </c>
      <c r="O46" s="27">
        <f t="shared" ref="O46:AF46" si="19">O43+O44</f>
        <v>-791.24219599999878</v>
      </c>
      <c r="P46" s="27">
        <f t="shared" si="19"/>
        <v>0</v>
      </c>
      <c r="Q46" s="27">
        <f t="shared" si="19"/>
        <v>0</v>
      </c>
      <c r="R46" s="27">
        <f t="shared" si="19"/>
        <v>0</v>
      </c>
      <c r="S46" s="27">
        <f t="shared" si="19"/>
        <v>0</v>
      </c>
      <c r="T46" s="27">
        <f t="shared" si="19"/>
        <v>0</v>
      </c>
      <c r="U46" s="27">
        <f t="shared" si="19"/>
        <v>-4026.6435886470572</v>
      </c>
      <c r="V46" s="27">
        <f t="shared" si="19"/>
        <v>-5005.385684029412</v>
      </c>
      <c r="W46" s="27">
        <f t="shared" si="19"/>
        <v>-2555.5323232857208</v>
      </c>
      <c r="X46" s="27">
        <f t="shared" si="19"/>
        <v>-940.94394778572496</v>
      </c>
      <c r="Y46" s="27">
        <f t="shared" si="19"/>
        <v>0</v>
      </c>
      <c r="Z46" s="27">
        <f t="shared" si="19"/>
        <v>0</v>
      </c>
      <c r="AA46" s="27">
        <f t="shared" si="19"/>
        <v>0</v>
      </c>
      <c r="AB46" s="356">
        <f t="shared" si="19"/>
        <v>0</v>
      </c>
      <c r="AC46" s="634">
        <f t="shared" si="19"/>
        <v>0</v>
      </c>
      <c r="AD46" s="634">
        <f t="shared" si="19"/>
        <v>0</v>
      </c>
      <c r="AE46" s="634">
        <f t="shared" si="19"/>
        <v>0</v>
      </c>
      <c r="AF46" s="640">
        <f t="shared" si="19"/>
        <v>0</v>
      </c>
      <c r="AG46" s="22"/>
    </row>
    <row r="47" spans="1:33" ht="13.5" thickTop="1" x14ac:dyDescent="0.2">
      <c r="G47" s="22">
        <f>liability!G19-'Valuation Allowance'!G46</f>
        <v>0</v>
      </c>
      <c r="H47" s="22">
        <f>liability!H19-'Valuation Allowance'!H46</f>
        <v>0</v>
      </c>
      <c r="I47" s="22">
        <f>liability!I19-'Valuation Allowance'!I46</f>
        <v>0</v>
      </c>
      <c r="J47" s="22">
        <f>liability!J19-'Valuation Allowance'!J46</f>
        <v>0</v>
      </c>
      <c r="K47" s="22">
        <f>liability!K19-'Valuation Allowance'!K46</f>
        <v>0</v>
      </c>
      <c r="L47" s="22">
        <f>liability!L19-'Valuation Allowance'!L46</f>
        <v>0</v>
      </c>
      <c r="M47" s="22">
        <f>liability!M19-'Valuation Allowance'!M46</f>
        <v>0</v>
      </c>
      <c r="N47" s="22">
        <f>liability!N19-'Valuation Allowance'!N46</f>
        <v>0</v>
      </c>
      <c r="O47" s="22">
        <f>liability!O19-'Valuation Allowance'!O46</f>
        <v>0</v>
      </c>
      <c r="P47" s="22">
        <f>liability!P19-'Valuation Allowance'!P46</f>
        <v>0</v>
      </c>
      <c r="Q47" s="22">
        <f>liability!Q19-'Valuation Allowance'!Q46</f>
        <v>0</v>
      </c>
      <c r="R47" s="22">
        <f>liability!R19-'Valuation Allowance'!R46</f>
        <v>0</v>
      </c>
      <c r="S47" s="22">
        <f>liability!S19-'Valuation Allowance'!S46</f>
        <v>0</v>
      </c>
      <c r="T47" s="22">
        <f>liability!T19-'Valuation Allowance'!T46</f>
        <v>0</v>
      </c>
      <c r="U47" s="22">
        <f>liability!U19-'Valuation Allowance'!U46</f>
        <v>0</v>
      </c>
      <c r="V47" s="22">
        <f>liability!V19-'Valuation Allowance'!V46</f>
        <v>0</v>
      </c>
      <c r="W47" s="22">
        <f>liability!W19-'Valuation Allowance'!W46</f>
        <v>0</v>
      </c>
      <c r="X47" s="22">
        <f>liability!X19-'Valuation Allowance'!X46</f>
        <v>0</v>
      </c>
      <c r="Y47" s="22">
        <f>liability!Y19-'Valuation Allowance'!Y46</f>
        <v>0</v>
      </c>
      <c r="Z47" s="22">
        <f>liability!Z19-'Valuation Allowance'!Z46</f>
        <v>0</v>
      </c>
      <c r="AA47" s="22">
        <f>liability!AA19-'Valuation Allowance'!AA46</f>
        <v>0</v>
      </c>
      <c r="AB47" s="348">
        <f>liability!AB19-'Valuation Allowance'!AB46</f>
        <v>0</v>
      </c>
      <c r="AC47" s="629">
        <f>liability!AC19-'Valuation Allowance'!AC46</f>
        <v>0</v>
      </c>
      <c r="AD47" s="629">
        <f>liability!AD19-'Valuation Allowance'!AD46</f>
        <v>0</v>
      </c>
      <c r="AE47" s="629">
        <f>liability!AE19-'Valuation Allowance'!AE46</f>
        <v>0</v>
      </c>
      <c r="AF47" s="635">
        <f>liability!AF19-'Valuation Allowance'!AF46</f>
        <v>0</v>
      </c>
    </row>
    <row r="49" spans="24:33" x14ac:dyDescent="0.2">
      <c r="X49" s="106"/>
    </row>
    <row r="51" spans="24:33" x14ac:dyDescent="0.2">
      <c r="AG51" s="572">
        <f t="shared" ref="AG51" si="20">IF((AG48+AG49)&lt;0,AG48+AG49,0)</f>
        <v>0</v>
      </c>
    </row>
  </sheetData>
  <pageMargins left="0.51181102362204722" right="0.51181102362204722" top="0.98425196850393704" bottom="0.98425196850393704" header="0.51181102362204722" footer="0.51181102362204722"/>
  <pageSetup paperSize="3" scale="53" orientation="landscape" r:id="rId1"/>
  <headerFooter alignWithMargins="0">
    <oddFooter>&amp;L&amp;"Arial,Bold"&amp;F&amp;C&amp;A
&amp;R&amp;D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workbookViewId="0">
      <pane xSplit="2" ySplit="5" topLeftCell="W6" activePane="bottomRight" state="frozen"/>
      <selection activeCell="AF39" sqref="AF39"/>
      <selection pane="topRight" activeCell="AF39" sqref="AF39"/>
      <selection pane="bottomLeft" activeCell="AF39" sqref="AF39"/>
      <selection pane="bottomRight" activeCell="AC18" sqref="AC18"/>
    </sheetView>
  </sheetViews>
  <sheetFormatPr baseColWidth="10" defaultColWidth="9.140625" defaultRowHeight="12.75" outlineLevelCol="1" x14ac:dyDescent="0.2"/>
  <cols>
    <col min="1" max="1" width="53.5703125" customWidth="1"/>
    <col min="2" max="2" width="16.140625" customWidth="1"/>
    <col min="3" max="11" width="9.28515625" hidden="1" customWidth="1" outlineLevel="1"/>
    <col min="12" max="13" width="0" hidden="1" customWidth="1" outlineLevel="1"/>
    <col min="14" max="19" width="0" style="115" hidden="1" customWidth="1" outlineLevel="1"/>
    <col min="20" max="20" width="9.140625" style="115" collapsed="1"/>
    <col min="21" max="24" width="9.140625" style="115"/>
    <col min="25" max="25" width="9.140625" style="337"/>
    <col min="26" max="28" width="9.140625" style="76"/>
    <col min="29" max="29" width="9.140625" style="238"/>
    <col min="47" max="47" width="6" style="180" customWidth="1"/>
  </cols>
  <sheetData>
    <row r="1" spans="1:47" ht="15.75" x14ac:dyDescent="0.25">
      <c r="A1" s="18" t="s">
        <v>67</v>
      </c>
    </row>
    <row r="2" spans="1:47" x14ac:dyDescent="0.2">
      <c r="A2" s="2" t="s">
        <v>154</v>
      </c>
    </row>
    <row r="3" spans="1:47" x14ac:dyDescent="0.2">
      <c r="A3" s="2" t="s">
        <v>155</v>
      </c>
    </row>
    <row r="5" spans="1:47" s="2" customFormat="1" ht="13.5" thickBot="1" x14ac:dyDescent="0.25">
      <c r="A5" s="19" t="s">
        <v>156</v>
      </c>
      <c r="B5" s="20" t="s">
        <v>26</v>
      </c>
      <c r="C5" s="20" t="s">
        <v>36</v>
      </c>
      <c r="D5" s="20" t="s">
        <v>37</v>
      </c>
      <c r="E5" s="20" t="s">
        <v>38</v>
      </c>
      <c r="F5" s="20" t="s">
        <v>39</v>
      </c>
      <c r="G5" s="20" t="s">
        <v>40</v>
      </c>
      <c r="H5" s="20" t="s">
        <v>41</v>
      </c>
      <c r="I5" s="20" t="s">
        <v>42</v>
      </c>
      <c r="J5" s="20" t="s">
        <v>43</v>
      </c>
      <c r="K5" s="20" t="s">
        <v>44</v>
      </c>
      <c r="L5" s="20" t="s">
        <v>45</v>
      </c>
      <c r="M5" s="20" t="s">
        <v>168</v>
      </c>
      <c r="N5" s="116" t="s">
        <v>169</v>
      </c>
      <c r="O5" s="116" t="s">
        <v>170</v>
      </c>
      <c r="P5" s="116" t="s">
        <v>171</v>
      </c>
      <c r="Q5" s="116" t="s">
        <v>172</v>
      </c>
      <c r="R5" s="116" t="s">
        <v>173</v>
      </c>
      <c r="S5" s="116" t="s">
        <v>174</v>
      </c>
      <c r="T5" s="116" t="s">
        <v>175</v>
      </c>
      <c r="U5" s="116" t="s">
        <v>176</v>
      </c>
      <c r="V5" s="116" t="s">
        <v>177</v>
      </c>
      <c r="W5" s="116" t="s">
        <v>178</v>
      </c>
      <c r="X5" s="116" t="s">
        <v>294</v>
      </c>
      <c r="Y5" s="341" t="s">
        <v>309</v>
      </c>
      <c r="Z5" s="77" t="s">
        <v>315</v>
      </c>
      <c r="AA5" s="77" t="s">
        <v>316</v>
      </c>
      <c r="AB5" s="77" t="s">
        <v>317</v>
      </c>
      <c r="AC5" s="239" t="s">
        <v>318</v>
      </c>
      <c r="AD5" s="20" t="s">
        <v>319</v>
      </c>
      <c r="AE5" s="73" t="s">
        <v>330</v>
      </c>
      <c r="AF5" s="73" t="s">
        <v>331</v>
      </c>
      <c r="AG5" s="73" t="s">
        <v>333</v>
      </c>
      <c r="AH5" s="73" t="s">
        <v>337</v>
      </c>
      <c r="AI5" s="73" t="s">
        <v>338</v>
      </c>
      <c r="AJ5" s="73" t="s">
        <v>354</v>
      </c>
      <c r="AK5" s="73" t="s">
        <v>357</v>
      </c>
      <c r="AL5" s="73" t="s">
        <v>357</v>
      </c>
      <c r="AM5" s="73" t="s">
        <v>357</v>
      </c>
      <c r="AN5" s="73" t="s">
        <v>365</v>
      </c>
      <c r="AO5" s="73" t="s">
        <v>369</v>
      </c>
      <c r="AP5" s="73"/>
      <c r="AQ5" s="73"/>
      <c r="AR5" s="73"/>
      <c r="AS5" s="73"/>
      <c r="AU5" s="181" t="s">
        <v>298</v>
      </c>
    </row>
    <row r="7" spans="1:47" x14ac:dyDescent="0.2">
      <c r="A7" s="28" t="s">
        <v>179</v>
      </c>
    </row>
    <row r="8" spans="1:47" s="3" customFormat="1" x14ac:dyDescent="0.2">
      <c r="A8" s="3" t="s">
        <v>398</v>
      </c>
      <c r="B8" s="3" t="s">
        <v>201</v>
      </c>
      <c r="C8" s="3">
        <f>'Data Input'!G46</f>
        <v>441</v>
      </c>
      <c r="D8" s="3">
        <f>'Data Input'!H46</f>
        <v>566</v>
      </c>
      <c r="E8" s="3">
        <f>'Data Input'!I46</f>
        <v>686</v>
      </c>
      <c r="F8" s="3">
        <f>'Data Input'!J46</f>
        <v>926</v>
      </c>
      <c r="G8" s="3">
        <f>'Data Input'!K46</f>
        <v>1132</v>
      </c>
      <c r="H8" s="3">
        <f>'Data Input'!L46</f>
        <v>1109</v>
      </c>
      <c r="I8" s="3">
        <f>'Data Input'!M46</f>
        <v>667</v>
      </c>
      <c r="J8" s="3">
        <f>'Data Input'!N46</f>
        <v>635</v>
      </c>
      <c r="K8" s="3">
        <f>'Data Input'!O46</f>
        <v>645.03436999999997</v>
      </c>
      <c r="L8" s="3">
        <f>'Data Input'!P46</f>
        <v>676.24282600000004</v>
      </c>
      <c r="M8" s="3">
        <f>'Data Input'!Q46</f>
        <v>682.943175</v>
      </c>
      <c r="N8" s="121">
        <f>'Data Input'!R46</f>
        <v>708.14363400000002</v>
      </c>
      <c r="O8" s="121">
        <f>'Data Input'!S46</f>
        <v>740.20953299999996</v>
      </c>
      <c r="P8" s="121">
        <f>'Data Input'!T46</f>
        <v>795.11688900000001</v>
      </c>
      <c r="Q8" s="121">
        <f>'Data Input'!U46</f>
        <v>808.21466899999996</v>
      </c>
      <c r="R8" s="121">
        <f>'Data Input'!V46</f>
        <v>1070</v>
      </c>
      <c r="S8" s="121">
        <f>'Data Input'!W46</f>
        <v>1244.570158</v>
      </c>
      <c r="T8" s="121">
        <f>'Data Input'!X46</f>
        <v>1316.2618660000001</v>
      </c>
      <c r="U8" s="121">
        <f>'Data Input'!Y46</f>
        <v>1343.8129570000001</v>
      </c>
      <c r="V8" s="121">
        <f>'Data Input'!Z46</f>
        <v>1393.0569660000001</v>
      </c>
      <c r="W8" s="121">
        <f>'Data Input'!AA46</f>
        <v>1460.7559490000001</v>
      </c>
      <c r="X8" s="121">
        <f>'Data Input'!AB46</f>
        <v>1525.800671</v>
      </c>
      <c r="Y8" s="344">
        <f>'Data Input'!AC46</f>
        <v>1598.2380873</v>
      </c>
      <c r="Z8" s="79">
        <f>'Data Input'!AD46</f>
        <v>1664.1763250155739</v>
      </c>
      <c r="AA8" s="79">
        <f>'Data Input'!AE46</f>
        <v>1732.632443033782</v>
      </c>
      <c r="AB8" s="79">
        <f>'Data Input'!AF46</f>
        <v>1794.1547928826822</v>
      </c>
      <c r="AC8" s="240">
        <f>'Data Input'!AG46</f>
        <v>1857.8091145237856</v>
      </c>
      <c r="AU8" s="182"/>
    </row>
    <row r="9" spans="1:47" s="121" customFormat="1" x14ac:dyDescent="0.2">
      <c r="A9" s="359" t="s">
        <v>397</v>
      </c>
      <c r="U9" s="121">
        <f>'Data Input'!Y44</f>
        <v>0</v>
      </c>
      <c r="V9" s="121">
        <f>'Data Input'!Z44</f>
        <v>0</v>
      </c>
      <c r="W9" s="121">
        <f>'Data Input'!AA44</f>
        <v>1</v>
      </c>
      <c r="X9" s="121">
        <f>'Data Input'!AB44</f>
        <v>1</v>
      </c>
      <c r="Y9" s="344">
        <f>'Data Input'!AC44</f>
        <v>1</v>
      </c>
      <c r="Z9" s="76">
        <f>'Data Input'!AD44</f>
        <v>0</v>
      </c>
      <c r="AA9" s="76">
        <f>'Data Input'!AE44</f>
        <v>0</v>
      </c>
      <c r="AB9" s="76">
        <f>'Data Input'!AF44</f>
        <v>0</v>
      </c>
      <c r="AC9" s="238">
        <f>'Data Input'!AG44</f>
        <v>0</v>
      </c>
      <c r="AU9" s="210"/>
    </row>
    <row r="10" spans="1:47" s="3" customFormat="1" x14ac:dyDescent="0.2">
      <c r="A10" s="3" t="s">
        <v>180</v>
      </c>
      <c r="B10" s="3" t="s">
        <v>201</v>
      </c>
      <c r="C10" s="3">
        <f>'Data Input'!G32</f>
        <v>663</v>
      </c>
      <c r="D10" s="3">
        <f>'Data Input'!H32</f>
        <v>710</v>
      </c>
      <c r="E10" s="3">
        <f>'Data Input'!I32</f>
        <v>617</v>
      </c>
      <c r="F10" s="3">
        <f>'Data Input'!J32</f>
        <v>610</v>
      </c>
      <c r="G10" s="3">
        <f>'Data Input'!K32</f>
        <v>582</v>
      </c>
      <c r="H10" s="3">
        <f>'Data Input'!L32</f>
        <v>607</v>
      </c>
      <c r="I10" s="3">
        <f>'Data Input'!M32</f>
        <v>620</v>
      </c>
      <c r="J10" s="3">
        <f>'Data Input'!N32</f>
        <v>615</v>
      </c>
      <c r="K10" s="3">
        <f>'Data Input'!O32</f>
        <v>628</v>
      </c>
      <c r="L10" s="3">
        <f>'Data Input'!P32</f>
        <v>664</v>
      </c>
      <c r="M10" s="3">
        <f>'Data Input'!Q32</f>
        <v>693</v>
      </c>
      <c r="N10" s="121">
        <f>'Data Input'!R32</f>
        <v>725</v>
      </c>
      <c r="O10" s="121">
        <f>'Data Input'!S32</f>
        <v>771</v>
      </c>
      <c r="P10" s="121">
        <f>'Data Input'!T32</f>
        <v>795</v>
      </c>
      <c r="Q10" s="121">
        <f>'Data Input'!U32</f>
        <v>1040</v>
      </c>
      <c r="R10" s="121">
        <f>'Data Input'!V32</f>
        <v>1117</v>
      </c>
      <c r="S10" s="121">
        <f>'Data Input'!W32</f>
        <v>1278</v>
      </c>
      <c r="T10" s="121">
        <f>'Data Input'!X32</f>
        <v>1313</v>
      </c>
      <c r="U10" s="121">
        <f>'Data Input'!Y32</f>
        <v>1377</v>
      </c>
      <c r="V10" s="121">
        <f>'Data Input'!Z32</f>
        <v>1446</v>
      </c>
      <c r="W10" s="121">
        <f>'Data Input'!AA32</f>
        <v>1511</v>
      </c>
      <c r="X10" s="121">
        <f>'Data Input'!AB32</f>
        <v>1578</v>
      </c>
      <c r="Y10" s="344">
        <f>'Data Input'!AC32</f>
        <v>1615</v>
      </c>
      <c r="Z10" s="79">
        <f>'Data Input'!AD32</f>
        <v>1676.5191256830601</v>
      </c>
      <c r="AA10" s="79">
        <f>'Data Input'!AE32</f>
        <v>1744.1940655737703</v>
      </c>
      <c r="AB10" s="79">
        <f>'Data Input'!AF32</f>
        <v>1805.014361092896</v>
      </c>
      <c r="AC10" s="240">
        <f>'Data Input'!AG32</f>
        <v>1867.9422996841527</v>
      </c>
      <c r="AU10" s="182"/>
    </row>
    <row r="11" spans="1:47" s="3" customFormat="1" x14ac:dyDescent="0.2">
      <c r="A11" s="3" t="s">
        <v>181</v>
      </c>
      <c r="B11" s="3" t="s">
        <v>201</v>
      </c>
      <c r="C11" s="6">
        <f>'Data Input'!G33</f>
        <v>35</v>
      </c>
      <c r="D11" s="6">
        <f>'Data Input'!H33</f>
        <v>9</v>
      </c>
      <c r="E11" s="6">
        <f>'Data Input'!I33</f>
        <v>9</v>
      </c>
      <c r="F11" s="6">
        <f>'Data Input'!J33</f>
        <v>9</v>
      </c>
      <c r="G11" s="6">
        <f>'Data Input'!K33</f>
        <v>8</v>
      </c>
      <c r="H11" s="6">
        <f>'Data Input'!L33</f>
        <v>14</v>
      </c>
      <c r="I11" s="6">
        <f>'Data Input'!M33</f>
        <v>9</v>
      </c>
      <c r="J11" s="6">
        <f>'Data Input'!N33</f>
        <v>9</v>
      </c>
      <c r="K11" s="6">
        <f>'Data Input'!O33</f>
        <v>10</v>
      </c>
      <c r="L11" s="6">
        <f>'Data Input'!P33</f>
        <v>11</v>
      </c>
      <c r="M11" s="6">
        <f>'Data Input'!Q33</f>
        <v>12</v>
      </c>
      <c r="N11" s="125">
        <f>'Data Input'!R33</f>
        <v>12</v>
      </c>
      <c r="O11" s="125">
        <f>'Data Input'!S33</f>
        <v>13</v>
      </c>
      <c r="P11" s="125">
        <f>'Data Input'!T33</f>
        <v>14</v>
      </c>
      <c r="Q11" s="125">
        <f>'Data Input'!U33</f>
        <v>19</v>
      </c>
      <c r="R11" s="125">
        <f>'Data Input'!V33</f>
        <v>21</v>
      </c>
      <c r="S11" s="125">
        <f>'Data Input'!W33</f>
        <v>24</v>
      </c>
      <c r="T11" s="125">
        <f>'Data Input'!X33</f>
        <v>25.194857142857138</v>
      </c>
      <c r="U11" s="125">
        <f>'Data Input'!Y33</f>
        <v>26</v>
      </c>
      <c r="V11" s="125">
        <f>'Data Input'!Z33</f>
        <v>27.716232142857141</v>
      </c>
      <c r="W11" s="125">
        <f>'Data Input'!AA33</f>
        <v>29</v>
      </c>
      <c r="X11" s="125">
        <f>'Data Input'!AB33</f>
        <v>32</v>
      </c>
      <c r="Y11" s="345">
        <f>'Data Input'!AC33</f>
        <v>33</v>
      </c>
      <c r="Z11" s="81">
        <f>'Data Input'!AD33</f>
        <v>34.361475409836068</v>
      </c>
      <c r="AA11" s="81">
        <f>'Data Input'!AE33</f>
        <v>35.774939344262293</v>
      </c>
      <c r="AB11" s="81">
        <f>'Data Input'!AF33</f>
        <v>37.04523665573771</v>
      </c>
      <c r="AC11" s="241">
        <f>'Data Input'!AG33</f>
        <v>38.359554360491806</v>
      </c>
      <c r="AU11" s="182"/>
    </row>
    <row r="12" spans="1:47" s="8" customFormat="1" x14ac:dyDescent="0.2">
      <c r="A12" s="8" t="s">
        <v>182</v>
      </c>
      <c r="B12" s="8" t="s">
        <v>31</v>
      </c>
      <c r="C12" s="21">
        <f>C8-C10-C11</f>
        <v>-257</v>
      </c>
      <c r="D12" s="21">
        <f t="shared" ref="D12:N12" si="0">D8-D10-D11</f>
        <v>-153</v>
      </c>
      <c r="E12" s="21">
        <f t="shared" si="0"/>
        <v>60</v>
      </c>
      <c r="F12" s="21">
        <f t="shared" si="0"/>
        <v>307</v>
      </c>
      <c r="G12" s="21">
        <f t="shared" si="0"/>
        <v>542</v>
      </c>
      <c r="H12" s="21">
        <f t="shared" si="0"/>
        <v>488</v>
      </c>
      <c r="I12" s="21">
        <f t="shared" si="0"/>
        <v>38</v>
      </c>
      <c r="J12" s="21">
        <f t="shared" si="0"/>
        <v>11</v>
      </c>
      <c r="K12" s="21">
        <f t="shared" si="0"/>
        <v>7.0343699999999671</v>
      </c>
      <c r="L12" s="21">
        <f t="shared" si="0"/>
        <v>1.2428260000000364</v>
      </c>
      <c r="M12" s="21">
        <f t="shared" si="0"/>
        <v>-22.056825000000003</v>
      </c>
      <c r="N12" s="140">
        <f t="shared" si="0"/>
        <v>-28.85636599999998</v>
      </c>
      <c r="O12" s="140">
        <f t="shared" ref="O12:T12" si="1">O8-O10-O11</f>
        <v>-43.790467000000035</v>
      </c>
      <c r="P12" s="140">
        <f t="shared" si="1"/>
        <v>-13.883110999999985</v>
      </c>
      <c r="Q12" s="140">
        <f t="shared" si="1"/>
        <v>-250.78533100000004</v>
      </c>
      <c r="R12" s="140">
        <f t="shared" si="1"/>
        <v>-68</v>
      </c>
      <c r="S12" s="140">
        <f t="shared" si="1"/>
        <v>-57.429842000000008</v>
      </c>
      <c r="T12" s="140">
        <f t="shared" si="1"/>
        <v>-21.932991142857084</v>
      </c>
      <c r="U12" s="140">
        <f>U8-U9-U10-U11</f>
        <v>-59.187042999999903</v>
      </c>
      <c r="V12" s="140">
        <f t="shared" ref="V12:AA12" si="2">V8-V9-V10-V11</f>
        <v>-80.659266142857035</v>
      </c>
      <c r="W12" s="140">
        <f t="shared" si="2"/>
        <v>-80.244050999999899</v>
      </c>
      <c r="X12" s="140">
        <f t="shared" si="2"/>
        <v>-85.199329000000034</v>
      </c>
      <c r="Y12" s="360">
        <f t="shared" si="2"/>
        <v>-50.761912700000039</v>
      </c>
      <c r="Z12" s="95">
        <f t="shared" si="2"/>
        <v>-46.704276077322312</v>
      </c>
      <c r="AA12" s="95">
        <f t="shared" si="2"/>
        <v>-47.336561884250614</v>
      </c>
      <c r="AB12" s="95">
        <f t="shared" ref="AB12:AC12" si="3">AB8-AB9-AB10-AB11</f>
        <v>-47.904804865951576</v>
      </c>
      <c r="AC12" s="261">
        <f t="shared" si="3"/>
        <v>-48.492739520858827</v>
      </c>
      <c r="AU12" s="183"/>
    </row>
    <row r="13" spans="1:47" s="3" customFormat="1" x14ac:dyDescent="0.2">
      <c r="N13" s="121"/>
      <c r="O13" s="121"/>
      <c r="P13" s="121"/>
      <c r="Q13" s="121"/>
      <c r="R13" s="121"/>
      <c r="S13" s="121"/>
      <c r="T13" s="121"/>
      <c r="U13" s="121"/>
      <c r="V13" s="121"/>
      <c r="W13" s="121"/>
      <c r="X13" s="121"/>
      <c r="Y13" s="344"/>
      <c r="Z13" s="79"/>
      <c r="AA13" s="79"/>
      <c r="AB13" s="79"/>
      <c r="AC13" s="240"/>
      <c r="AU13" s="182"/>
    </row>
    <row r="14" spans="1:47" s="3" customFormat="1" ht="15" x14ac:dyDescent="0.35">
      <c r="A14" s="41" t="s">
        <v>185</v>
      </c>
      <c r="N14" s="121"/>
      <c r="O14" s="121"/>
      <c r="P14" s="121"/>
      <c r="Q14" s="121"/>
      <c r="R14" s="121"/>
      <c r="S14" s="121"/>
      <c r="T14" s="121"/>
      <c r="U14" s="121"/>
      <c r="V14" s="121"/>
      <c r="W14" s="121"/>
      <c r="X14" s="121"/>
      <c r="Y14" s="344"/>
      <c r="Z14" s="79"/>
      <c r="AA14" s="79"/>
      <c r="AB14" s="79"/>
      <c r="AC14" s="240"/>
      <c r="AU14" s="182"/>
    </row>
    <row r="15" spans="1:47" s="3" customFormat="1" x14ac:dyDescent="0.2">
      <c r="A15" s="42" t="s">
        <v>183</v>
      </c>
      <c r="B15" s="3" t="s">
        <v>31</v>
      </c>
      <c r="C15" s="3">
        <f>0.5*C12</f>
        <v>-128.5</v>
      </c>
      <c r="D15" s="3">
        <f t="shared" ref="D15:K15" si="4">0.5*D12</f>
        <v>-76.5</v>
      </c>
      <c r="E15" s="3">
        <f t="shared" si="4"/>
        <v>30</v>
      </c>
      <c r="F15" s="3">
        <f t="shared" si="4"/>
        <v>153.5</v>
      </c>
      <c r="G15" s="3">
        <f t="shared" si="4"/>
        <v>271</v>
      </c>
      <c r="H15" s="3">
        <f t="shared" si="4"/>
        <v>244</v>
      </c>
      <c r="I15" s="3">
        <f t="shared" si="4"/>
        <v>19</v>
      </c>
      <c r="J15" s="3">
        <f t="shared" si="4"/>
        <v>5.5</v>
      </c>
      <c r="K15" s="3">
        <f t="shared" si="4"/>
        <v>3.5171849999999836</v>
      </c>
      <c r="L15" s="3">
        <f t="shared" ref="L15:Q15" si="5">0.5*L12</f>
        <v>0.6214130000000182</v>
      </c>
      <c r="M15" s="3">
        <f t="shared" si="5"/>
        <v>-11.028412500000002</v>
      </c>
      <c r="N15" s="121">
        <f t="shared" si="5"/>
        <v>-14.42818299999999</v>
      </c>
      <c r="O15" s="121">
        <f t="shared" si="5"/>
        <v>-21.895233500000018</v>
      </c>
      <c r="P15" s="121">
        <f t="shared" si="5"/>
        <v>-6.9415554999999927</v>
      </c>
      <c r="Q15" s="121">
        <f t="shared" si="5"/>
        <v>-125.39266550000002</v>
      </c>
      <c r="R15" s="121">
        <f t="shared" ref="R15:W15" si="6">0.5*R12</f>
        <v>-34</v>
      </c>
      <c r="S15" s="121">
        <f t="shared" si="6"/>
        <v>-28.714921000000004</v>
      </c>
      <c r="T15" s="121">
        <f t="shared" si="6"/>
        <v>-10.966495571428542</v>
      </c>
      <c r="U15" s="121">
        <f t="shared" si="6"/>
        <v>-29.593521499999952</v>
      </c>
      <c r="V15" s="121">
        <f t="shared" si="6"/>
        <v>-40.329633071428518</v>
      </c>
      <c r="W15" s="121">
        <f t="shared" si="6"/>
        <v>-40.12202549999995</v>
      </c>
      <c r="X15" s="121">
        <f t="shared" ref="X15:AC15" si="7">0.5*X12</f>
        <v>-42.599664500000017</v>
      </c>
      <c r="Y15" s="344">
        <f t="shared" si="7"/>
        <v>-25.380956350000019</v>
      </c>
      <c r="Z15" s="79">
        <f t="shared" si="7"/>
        <v>-23.352138038661156</v>
      </c>
      <c r="AA15" s="79">
        <f t="shared" si="7"/>
        <v>-23.668280942125307</v>
      </c>
      <c r="AB15" s="79">
        <f t="shared" si="7"/>
        <v>-23.952402432975788</v>
      </c>
      <c r="AC15" s="240">
        <f t="shared" si="7"/>
        <v>-24.246369760429413</v>
      </c>
      <c r="AU15" s="182"/>
    </row>
    <row r="16" spans="1:47" s="3" customFormat="1" x14ac:dyDescent="0.2">
      <c r="A16" t="s">
        <v>89</v>
      </c>
      <c r="B16" s="3" t="s">
        <v>201</v>
      </c>
      <c r="C16" s="3">
        <f>'Data Input'!G40</f>
        <v>14</v>
      </c>
      <c r="D16" s="3">
        <f>'Data Input'!H40</f>
        <v>14</v>
      </c>
      <c r="E16" s="3">
        <f>'Data Input'!I40</f>
        <v>14</v>
      </c>
      <c r="F16" s="3">
        <f>'Data Input'!J40</f>
        <v>14</v>
      </c>
      <c r="G16" s="3">
        <f>'Data Input'!K40</f>
        <v>13</v>
      </c>
      <c r="H16" s="3">
        <f>'Data Input'!L40</f>
        <v>13</v>
      </c>
      <c r="I16" s="3">
        <f>'Data Input'!M40</f>
        <v>14</v>
      </c>
      <c r="J16" s="3">
        <f>'Data Input'!N40</f>
        <v>14</v>
      </c>
      <c r="K16" s="3">
        <f>'Data Input'!O40</f>
        <v>13</v>
      </c>
      <c r="L16" s="3">
        <f>'Data Input'!P40</f>
        <v>13</v>
      </c>
      <c r="M16" s="3">
        <f>'Data Input'!Q40</f>
        <v>13</v>
      </c>
      <c r="N16" s="121">
        <f>'Data Input'!R40</f>
        <v>13</v>
      </c>
      <c r="O16" s="121">
        <f>'Data Input'!S40</f>
        <v>13</v>
      </c>
      <c r="P16" s="121">
        <f>'Data Input'!T40</f>
        <v>13.6</v>
      </c>
      <c r="Q16" s="121">
        <f>'Data Input'!U40</f>
        <v>13.8</v>
      </c>
      <c r="R16" s="212">
        <f>'Data Input'!V40</f>
        <v>14</v>
      </c>
      <c r="S16" s="212">
        <f>'Data Input'!W40</f>
        <v>14</v>
      </c>
      <c r="T16" s="212">
        <f>'Data Input'!X40</f>
        <v>13.9</v>
      </c>
      <c r="U16" s="212">
        <f>'Data Input'!Y40</f>
        <v>14.1</v>
      </c>
      <c r="V16" s="212">
        <f>'Data Input'!Z40</f>
        <v>14.6</v>
      </c>
      <c r="W16" s="212">
        <f>'Data Input'!AA40</f>
        <v>14.5</v>
      </c>
      <c r="X16" s="212">
        <f>'Data Input'!AB40</f>
        <v>14.4</v>
      </c>
      <c r="Y16" s="361">
        <f>'Data Input'!AC40</f>
        <v>15.3</v>
      </c>
      <c r="Z16" s="211">
        <f>'Data Input'!AD40</f>
        <v>15.3</v>
      </c>
      <c r="AA16" s="211">
        <f>'Data Input'!AE40</f>
        <v>15.3</v>
      </c>
      <c r="AB16" s="211">
        <f>'Data Input'!AF40</f>
        <v>15.3</v>
      </c>
      <c r="AC16" s="262">
        <f>'Data Input'!AG40</f>
        <v>15.3</v>
      </c>
      <c r="AU16" s="182"/>
    </row>
    <row r="17" spans="1:47" s="8" customFormat="1" x14ac:dyDescent="0.2">
      <c r="A17" s="8" t="s">
        <v>184</v>
      </c>
      <c r="B17" s="8" t="s">
        <v>31</v>
      </c>
      <c r="C17" s="8">
        <f t="shared" ref="C17:N17" si="8">C15/C16</f>
        <v>-9.1785714285714288</v>
      </c>
      <c r="D17" s="8">
        <f t="shared" si="8"/>
        <v>-5.4642857142857144</v>
      </c>
      <c r="E17" s="8">
        <f t="shared" si="8"/>
        <v>2.1428571428571428</v>
      </c>
      <c r="F17" s="8">
        <f t="shared" si="8"/>
        <v>10.964285714285714</v>
      </c>
      <c r="G17" s="8">
        <f t="shared" si="8"/>
        <v>20.846153846153847</v>
      </c>
      <c r="H17" s="8">
        <f t="shared" si="8"/>
        <v>18.76923076923077</v>
      </c>
      <c r="I17" s="8">
        <f t="shared" si="8"/>
        <v>1.3571428571428572</v>
      </c>
      <c r="J17" s="8">
        <f t="shared" si="8"/>
        <v>0.39285714285714285</v>
      </c>
      <c r="K17" s="8">
        <f t="shared" si="8"/>
        <v>0.27055269230769102</v>
      </c>
      <c r="L17" s="8">
        <f t="shared" si="8"/>
        <v>4.7801000000001398E-2</v>
      </c>
      <c r="M17" s="8">
        <f t="shared" si="8"/>
        <v>-0.84833942307692323</v>
      </c>
      <c r="N17" s="119">
        <f t="shared" si="8"/>
        <v>-1.10986023076923</v>
      </c>
      <c r="O17" s="119">
        <f t="shared" ref="O17:AA17" si="9">O15/O16</f>
        <v>-1.6842487307692322</v>
      </c>
      <c r="P17" s="119">
        <f t="shared" si="9"/>
        <v>-0.51040849264705834</v>
      </c>
      <c r="Q17" s="119">
        <f t="shared" si="9"/>
        <v>-9.0864250362318852</v>
      </c>
      <c r="R17" s="119">
        <f t="shared" si="9"/>
        <v>-2.4285714285714284</v>
      </c>
      <c r="S17" s="119">
        <f t="shared" si="9"/>
        <v>-2.051065785714286</v>
      </c>
      <c r="T17" s="119">
        <f t="shared" si="9"/>
        <v>-0.78895651593011096</v>
      </c>
      <c r="U17" s="119">
        <f t="shared" si="9"/>
        <v>-2.0988313120567343</v>
      </c>
      <c r="V17" s="119">
        <f t="shared" si="9"/>
        <v>-2.7623036350293506</v>
      </c>
      <c r="W17" s="119">
        <f t="shared" si="9"/>
        <v>-2.7670362413793068</v>
      </c>
      <c r="X17" s="119">
        <f t="shared" si="9"/>
        <v>-2.9583100347222233</v>
      </c>
      <c r="Y17" s="342">
        <f t="shared" si="9"/>
        <v>-1.6588860359477136</v>
      </c>
      <c r="Z17" s="78">
        <f t="shared" si="9"/>
        <v>-1.5262835319386376</v>
      </c>
      <c r="AA17" s="78">
        <f t="shared" si="9"/>
        <v>-1.5469464668055755</v>
      </c>
      <c r="AB17" s="78">
        <f t="shared" ref="AB17:AC17" si="10">AB15/AB16</f>
        <v>-1.5655164988873063</v>
      </c>
      <c r="AC17" s="242">
        <f t="shared" si="10"/>
        <v>-1.5847300497012689</v>
      </c>
      <c r="AU17" s="183"/>
    </row>
    <row r="18" spans="1:47" s="3" customFormat="1" x14ac:dyDescent="0.2">
      <c r="N18" s="121"/>
      <c r="O18" s="121"/>
      <c r="P18" s="121"/>
      <c r="Q18" s="121"/>
      <c r="R18" s="121"/>
      <c r="S18" s="121"/>
      <c r="T18" s="121"/>
      <c r="U18" s="121"/>
      <c r="V18" s="121"/>
      <c r="W18" s="121"/>
      <c r="X18" s="121"/>
      <c r="Y18" s="344"/>
      <c r="Z18" s="79"/>
      <c r="AA18" s="79"/>
      <c r="AB18" s="79"/>
      <c r="AC18" s="240"/>
      <c r="AU18" s="182"/>
    </row>
    <row r="19" spans="1:47" s="3" customFormat="1" ht="15" x14ac:dyDescent="0.35">
      <c r="A19" s="41" t="s">
        <v>186</v>
      </c>
      <c r="N19" s="121"/>
      <c r="O19" s="121"/>
      <c r="P19" s="121"/>
      <c r="Q19" s="121"/>
      <c r="R19" s="121"/>
      <c r="S19" s="121"/>
      <c r="T19" s="121"/>
      <c r="U19" s="121"/>
      <c r="V19" s="121"/>
      <c r="W19" s="121"/>
      <c r="X19" s="121"/>
      <c r="Y19" s="344"/>
      <c r="Z19" s="79"/>
      <c r="AA19" s="79"/>
      <c r="AB19" s="79"/>
      <c r="AC19" s="240"/>
      <c r="AU19" s="182"/>
    </row>
    <row r="20" spans="1:47" s="3" customFormat="1" x14ac:dyDescent="0.2">
      <c r="A20" s="3" t="s">
        <v>158</v>
      </c>
      <c r="B20" s="3" t="s">
        <v>187</v>
      </c>
      <c r="C20" s="3">
        <f>ROUND(+$C17,0)-1</f>
        <v>-10</v>
      </c>
      <c r="D20" s="3">
        <f>ROUND(+$C17,0)-1</f>
        <v>-10</v>
      </c>
      <c r="E20" s="3">
        <f>ROUND(+$C17,0)-1</f>
        <v>-10</v>
      </c>
      <c r="F20" s="3">
        <f>ROUND(+$C17,0)</f>
        <v>-9</v>
      </c>
      <c r="G20" s="3">
        <f t="shared" ref="G20:P20" si="11">ROUND(+$C17,0)</f>
        <v>-9</v>
      </c>
      <c r="H20" s="3">
        <f t="shared" si="11"/>
        <v>-9</v>
      </c>
      <c r="I20" s="3">
        <f t="shared" si="11"/>
        <v>-9</v>
      </c>
      <c r="J20" s="3">
        <f t="shared" si="11"/>
        <v>-9</v>
      </c>
      <c r="K20" s="3">
        <f t="shared" si="11"/>
        <v>-9</v>
      </c>
      <c r="L20" s="3">
        <f t="shared" si="11"/>
        <v>-9</v>
      </c>
      <c r="M20" s="3">
        <f t="shared" si="11"/>
        <v>-9</v>
      </c>
      <c r="N20" s="121">
        <f t="shared" si="11"/>
        <v>-9</v>
      </c>
      <c r="O20" s="121">
        <f t="shared" si="11"/>
        <v>-9</v>
      </c>
      <c r="P20" s="121">
        <f t="shared" si="11"/>
        <v>-9</v>
      </c>
      <c r="Q20" s="121"/>
      <c r="R20" s="121"/>
      <c r="S20" s="121"/>
      <c r="T20" s="121"/>
      <c r="U20" s="121"/>
      <c r="V20" s="121"/>
      <c r="W20" s="121"/>
      <c r="X20" s="121"/>
      <c r="Y20" s="344"/>
      <c r="Z20" s="79"/>
      <c r="AA20" s="79"/>
      <c r="AB20" s="79"/>
      <c r="AC20" s="240"/>
      <c r="AT20" s="3">
        <f>SUM(C20:AM20)</f>
        <v>-129</v>
      </c>
      <c r="AU20" s="182">
        <f>ROUND(C$15,0)-ROUND($AT20,0)</f>
        <v>0</v>
      </c>
    </row>
    <row r="21" spans="1:47" s="3" customFormat="1" x14ac:dyDescent="0.2">
      <c r="A21" s="3" t="s">
        <v>159</v>
      </c>
      <c r="B21" s="3" t="s">
        <v>187</v>
      </c>
      <c r="D21" s="3">
        <f>ROUND(+$D17,0)-1</f>
        <v>-6</v>
      </c>
      <c r="E21" s="3">
        <f t="shared" ref="E21:J21" si="12">ROUND(+$D17,0)-1</f>
        <v>-6</v>
      </c>
      <c r="F21" s="3">
        <f t="shared" si="12"/>
        <v>-6</v>
      </c>
      <c r="G21" s="3">
        <f t="shared" si="12"/>
        <v>-6</v>
      </c>
      <c r="H21" s="3">
        <f t="shared" si="12"/>
        <v>-6</v>
      </c>
      <c r="I21" s="3">
        <f t="shared" si="12"/>
        <v>-6</v>
      </c>
      <c r="J21" s="3">
        <f t="shared" si="12"/>
        <v>-6</v>
      </c>
      <c r="K21" s="3">
        <f>ROUND(+$D17,0)</f>
        <v>-5</v>
      </c>
      <c r="L21" s="3">
        <f t="shared" ref="L21:Q21" si="13">ROUND(+$D17,0)</f>
        <v>-5</v>
      </c>
      <c r="M21" s="3">
        <f t="shared" si="13"/>
        <v>-5</v>
      </c>
      <c r="N21" s="121">
        <f t="shared" si="13"/>
        <v>-5</v>
      </c>
      <c r="O21" s="121">
        <f t="shared" si="13"/>
        <v>-5</v>
      </c>
      <c r="P21" s="121">
        <f t="shared" si="13"/>
        <v>-5</v>
      </c>
      <c r="Q21" s="121">
        <f t="shared" si="13"/>
        <v>-5</v>
      </c>
      <c r="R21" s="121"/>
      <c r="S21" s="121"/>
      <c r="T21" s="121"/>
      <c r="U21" s="121"/>
      <c r="V21" s="121"/>
      <c r="W21" s="121"/>
      <c r="X21" s="121"/>
      <c r="Y21" s="344"/>
      <c r="Z21" s="79"/>
      <c r="AA21" s="79"/>
      <c r="AB21" s="79"/>
      <c r="AC21" s="240"/>
      <c r="AT21" s="3">
        <f t="shared" ref="AT21:AT40" si="14">SUM(C21:AM21)</f>
        <v>-77</v>
      </c>
      <c r="AU21" s="182">
        <f>ROUND(D$15,0)-ROUND($AT21,0)</f>
        <v>0</v>
      </c>
    </row>
    <row r="22" spans="1:47" s="3" customFormat="1" x14ac:dyDescent="0.2">
      <c r="A22" s="3" t="s">
        <v>160</v>
      </c>
      <c r="B22" s="3" t="s">
        <v>187</v>
      </c>
      <c r="E22" s="3">
        <f>ROUND(+$E17,0)+1</f>
        <v>3</v>
      </c>
      <c r="F22" s="3">
        <f>ROUND(+$E17,0)+1</f>
        <v>3</v>
      </c>
      <c r="G22" s="3">
        <f>ROUND(+$E17,0)</f>
        <v>2</v>
      </c>
      <c r="H22" s="3">
        <f t="shared" ref="H22:R22" si="15">ROUND(+$E17,0)</f>
        <v>2</v>
      </c>
      <c r="I22" s="3">
        <f t="shared" si="15"/>
        <v>2</v>
      </c>
      <c r="J22" s="3">
        <f t="shared" si="15"/>
        <v>2</v>
      </c>
      <c r="K22" s="3">
        <f t="shared" si="15"/>
        <v>2</v>
      </c>
      <c r="L22" s="3">
        <f t="shared" si="15"/>
        <v>2</v>
      </c>
      <c r="M22" s="3">
        <f t="shared" si="15"/>
        <v>2</v>
      </c>
      <c r="N22" s="121">
        <f t="shared" si="15"/>
        <v>2</v>
      </c>
      <c r="O22" s="121">
        <f t="shared" si="15"/>
        <v>2</v>
      </c>
      <c r="P22" s="121">
        <f t="shared" si="15"/>
        <v>2</v>
      </c>
      <c r="Q22" s="121">
        <f t="shared" si="15"/>
        <v>2</v>
      </c>
      <c r="R22" s="121">
        <f t="shared" si="15"/>
        <v>2</v>
      </c>
      <c r="S22" s="121"/>
      <c r="T22" s="121"/>
      <c r="U22" s="121"/>
      <c r="V22" s="121"/>
      <c r="W22" s="121"/>
      <c r="X22" s="121"/>
      <c r="Y22" s="344"/>
      <c r="Z22" s="79"/>
      <c r="AA22" s="79"/>
      <c r="AB22" s="79"/>
      <c r="AC22" s="240"/>
      <c r="AT22" s="3">
        <f t="shared" si="14"/>
        <v>30</v>
      </c>
      <c r="AU22" s="182">
        <f>ROUND(E$15,0)-ROUND($AT22,0)</f>
        <v>0</v>
      </c>
    </row>
    <row r="23" spans="1:47" s="3" customFormat="1" x14ac:dyDescent="0.2">
      <c r="A23" s="3" t="s">
        <v>161</v>
      </c>
      <c r="B23" s="3" t="s">
        <v>187</v>
      </c>
      <c r="F23" s="3">
        <f>ROUND(+$F17,0)</f>
        <v>11</v>
      </c>
      <c r="G23" s="3">
        <f t="shared" ref="G23:S23" si="16">ROUND(+$F17,0)</f>
        <v>11</v>
      </c>
      <c r="H23" s="3">
        <f t="shared" si="16"/>
        <v>11</v>
      </c>
      <c r="I23" s="3">
        <f t="shared" si="16"/>
        <v>11</v>
      </c>
      <c r="J23" s="3">
        <f t="shared" si="16"/>
        <v>11</v>
      </c>
      <c r="K23" s="3">
        <f t="shared" si="16"/>
        <v>11</v>
      </c>
      <c r="L23" s="3">
        <f t="shared" si="16"/>
        <v>11</v>
      </c>
      <c r="M23" s="3">
        <f t="shared" si="16"/>
        <v>11</v>
      </c>
      <c r="N23" s="121">
        <f t="shared" si="16"/>
        <v>11</v>
      </c>
      <c r="O23" s="121">
        <f t="shared" si="16"/>
        <v>11</v>
      </c>
      <c r="P23" s="121">
        <f t="shared" si="16"/>
        <v>11</v>
      </c>
      <c r="Q23" s="121">
        <f t="shared" si="16"/>
        <v>11</v>
      </c>
      <c r="R23" s="121">
        <f t="shared" si="16"/>
        <v>11</v>
      </c>
      <c r="S23" s="121">
        <f t="shared" si="16"/>
        <v>11</v>
      </c>
      <c r="T23" s="121"/>
      <c r="U23" s="121"/>
      <c r="V23" s="121"/>
      <c r="W23" s="121"/>
      <c r="X23" s="121"/>
      <c r="Y23" s="344"/>
      <c r="Z23" s="79"/>
      <c r="AA23" s="79"/>
      <c r="AB23" s="79"/>
      <c r="AC23" s="240"/>
      <c r="AT23" s="3">
        <f t="shared" si="14"/>
        <v>154</v>
      </c>
      <c r="AU23" s="182">
        <f>ROUND(F$15,0)-ROUND($AT23,0)</f>
        <v>0</v>
      </c>
    </row>
    <row r="24" spans="1:47" s="3" customFormat="1" x14ac:dyDescent="0.2">
      <c r="A24" s="3" t="s">
        <v>162</v>
      </c>
      <c r="B24" s="3" t="s">
        <v>187</v>
      </c>
      <c r="G24" s="3">
        <f>ROUND(+$G17,0)-1</f>
        <v>20</v>
      </c>
      <c r="H24" s="3">
        <f>ROUND(+$G17,0)-1</f>
        <v>20</v>
      </c>
      <c r="I24" s="3">
        <f>ROUND(+$G17,0)</f>
        <v>21</v>
      </c>
      <c r="J24" s="3">
        <f t="shared" ref="J24:S24" si="17">ROUND(+$G17,0)</f>
        <v>21</v>
      </c>
      <c r="K24" s="3">
        <f t="shared" si="17"/>
        <v>21</v>
      </c>
      <c r="L24" s="3">
        <f t="shared" si="17"/>
        <v>21</v>
      </c>
      <c r="M24" s="3">
        <f t="shared" si="17"/>
        <v>21</v>
      </c>
      <c r="N24" s="121">
        <f t="shared" si="17"/>
        <v>21</v>
      </c>
      <c r="O24" s="121">
        <f t="shared" si="17"/>
        <v>21</v>
      </c>
      <c r="P24" s="121">
        <f t="shared" si="17"/>
        <v>21</v>
      </c>
      <c r="Q24" s="121">
        <f t="shared" si="17"/>
        <v>21</v>
      </c>
      <c r="R24" s="121">
        <f t="shared" si="17"/>
        <v>21</v>
      </c>
      <c r="S24" s="121">
        <f t="shared" si="17"/>
        <v>21</v>
      </c>
      <c r="T24" s="121"/>
      <c r="U24" s="121"/>
      <c r="V24" s="121"/>
      <c r="W24" s="121"/>
      <c r="X24" s="121"/>
      <c r="Y24" s="344"/>
      <c r="Z24" s="79"/>
      <c r="AA24" s="79"/>
      <c r="AB24" s="79"/>
      <c r="AC24" s="240"/>
      <c r="AT24" s="3">
        <f t="shared" si="14"/>
        <v>271</v>
      </c>
      <c r="AU24" s="182">
        <f>ROUND(G$15,0)-ROUND($AT24,0)</f>
        <v>0</v>
      </c>
    </row>
    <row r="25" spans="1:47" x14ac:dyDescent="0.2">
      <c r="A25" s="3" t="s">
        <v>163</v>
      </c>
      <c r="B25" s="3" t="s">
        <v>187</v>
      </c>
      <c r="H25" s="22">
        <f>ROUND(+$H17,0)-1</f>
        <v>18</v>
      </c>
      <c r="I25" s="22">
        <f>ROUND(+$H17,0)-1</f>
        <v>18</v>
      </c>
      <c r="J25" s="22">
        <f>ROUND(+$H17,0)-1</f>
        <v>18</v>
      </c>
      <c r="K25" s="22">
        <f>ROUND(+$H17,0)</f>
        <v>19</v>
      </c>
      <c r="L25" s="22">
        <f t="shared" ref="L25:T25" si="18">ROUND(+$H17,0)</f>
        <v>19</v>
      </c>
      <c r="M25" s="22">
        <f t="shared" si="18"/>
        <v>19</v>
      </c>
      <c r="N25" s="106">
        <f t="shared" si="18"/>
        <v>19</v>
      </c>
      <c r="O25" s="106">
        <f t="shared" si="18"/>
        <v>19</v>
      </c>
      <c r="P25" s="106">
        <f t="shared" si="18"/>
        <v>19</v>
      </c>
      <c r="Q25" s="106">
        <f t="shared" si="18"/>
        <v>19</v>
      </c>
      <c r="R25" s="106">
        <f t="shared" si="18"/>
        <v>19</v>
      </c>
      <c r="S25" s="106">
        <f t="shared" si="18"/>
        <v>19</v>
      </c>
      <c r="T25" s="106">
        <f t="shared" si="18"/>
        <v>19</v>
      </c>
      <c r="AT25" s="3">
        <f t="shared" si="14"/>
        <v>244</v>
      </c>
      <c r="AU25" s="182">
        <f>H$15-$AT25</f>
        <v>0</v>
      </c>
    </row>
    <row r="26" spans="1:47" x14ac:dyDescent="0.2">
      <c r="A26" s="3" t="s">
        <v>164</v>
      </c>
      <c r="B26" s="3" t="s">
        <v>187</v>
      </c>
      <c r="I26" s="22">
        <f>ROUND(+$I17,0)+1</f>
        <v>2</v>
      </c>
      <c r="J26" s="22">
        <f>ROUND(+$I17,0)+1</f>
        <v>2</v>
      </c>
      <c r="K26" s="22">
        <f>ROUND(+$I17,0)+1</f>
        <v>2</v>
      </c>
      <c r="L26" s="22">
        <f>ROUND(+$I17,0)+1</f>
        <v>2</v>
      </c>
      <c r="M26" s="22">
        <f>ROUND(+$I17,0)+1</f>
        <v>2</v>
      </c>
      <c r="N26" s="106">
        <f>ROUND(+$I17,0)</f>
        <v>1</v>
      </c>
      <c r="O26" s="106">
        <f t="shared" ref="O26:V26" si="19">ROUND(+$I17,0)</f>
        <v>1</v>
      </c>
      <c r="P26" s="106">
        <f t="shared" si="19"/>
        <v>1</v>
      </c>
      <c r="Q26" s="106">
        <f t="shared" si="19"/>
        <v>1</v>
      </c>
      <c r="R26" s="106">
        <f t="shared" si="19"/>
        <v>1</v>
      </c>
      <c r="S26" s="106">
        <f t="shared" si="19"/>
        <v>1</v>
      </c>
      <c r="T26" s="106">
        <f t="shared" si="19"/>
        <v>1</v>
      </c>
      <c r="U26" s="106">
        <f t="shared" si="19"/>
        <v>1</v>
      </c>
      <c r="V26" s="106">
        <f t="shared" si="19"/>
        <v>1</v>
      </c>
      <c r="W26" s="106"/>
      <c r="AT26" s="3">
        <f t="shared" si="14"/>
        <v>19</v>
      </c>
      <c r="AU26" s="182">
        <f>ROUND(I$15,0)-ROUND($AT26,0)</f>
        <v>0</v>
      </c>
    </row>
    <row r="27" spans="1:47" x14ac:dyDescent="0.2">
      <c r="A27" s="3" t="s">
        <v>165</v>
      </c>
      <c r="B27" s="3" t="s">
        <v>187</v>
      </c>
      <c r="J27" s="22">
        <f t="shared" ref="J27:O27" si="20">ROUND(+$J17,0)+1</f>
        <v>1</v>
      </c>
      <c r="K27" s="22">
        <f t="shared" si="20"/>
        <v>1</v>
      </c>
      <c r="L27" s="22">
        <f t="shared" si="20"/>
        <v>1</v>
      </c>
      <c r="M27" s="22">
        <f t="shared" si="20"/>
        <v>1</v>
      </c>
      <c r="N27" s="106">
        <f t="shared" si="20"/>
        <v>1</v>
      </c>
      <c r="O27" s="106">
        <f t="shared" si="20"/>
        <v>1</v>
      </c>
      <c r="P27" s="106">
        <f>ROUND(+$J17,0)</f>
        <v>0</v>
      </c>
      <c r="Q27" s="106">
        <f t="shared" ref="Q27:W27" si="21">ROUND(+$J17,0)</f>
        <v>0</v>
      </c>
      <c r="R27" s="106">
        <f t="shared" si="21"/>
        <v>0</v>
      </c>
      <c r="S27" s="106">
        <f t="shared" si="21"/>
        <v>0</v>
      </c>
      <c r="T27" s="106">
        <f t="shared" si="21"/>
        <v>0</v>
      </c>
      <c r="U27" s="106">
        <f t="shared" si="21"/>
        <v>0</v>
      </c>
      <c r="V27" s="106">
        <f t="shared" si="21"/>
        <v>0</v>
      </c>
      <c r="W27" s="106">
        <f t="shared" si="21"/>
        <v>0</v>
      </c>
      <c r="AT27" s="3">
        <f t="shared" si="14"/>
        <v>6</v>
      </c>
      <c r="AU27" s="182">
        <f>ROUND(J$15,0)-ROUND($AT27,0)</f>
        <v>0</v>
      </c>
    </row>
    <row r="28" spans="1:47" x14ac:dyDescent="0.2">
      <c r="A28" s="3" t="s">
        <v>166</v>
      </c>
      <c r="B28" s="3" t="s">
        <v>187</v>
      </c>
      <c r="K28" s="22">
        <f>ROUND(+$K17,0)+1</f>
        <v>1</v>
      </c>
      <c r="L28" s="22">
        <f>ROUND(+$K17,0)+1</f>
        <v>1</v>
      </c>
      <c r="M28" s="22">
        <f>ROUND(+$K17,0)+1</f>
        <v>1</v>
      </c>
      <c r="N28" s="106">
        <f>ROUND(+$K17,0)+1</f>
        <v>1</v>
      </c>
      <c r="O28" s="106">
        <f>ROUND(+$K17,0)</f>
        <v>0</v>
      </c>
      <c r="P28" s="106">
        <f t="shared" ref="P28:W28" si="22">ROUND(+$K17,0)</f>
        <v>0</v>
      </c>
      <c r="Q28" s="106">
        <f t="shared" si="22"/>
        <v>0</v>
      </c>
      <c r="R28" s="106">
        <f t="shared" si="22"/>
        <v>0</v>
      </c>
      <c r="S28" s="106">
        <f t="shared" si="22"/>
        <v>0</v>
      </c>
      <c r="T28" s="106">
        <f t="shared" si="22"/>
        <v>0</v>
      </c>
      <c r="U28" s="106">
        <f t="shared" si="22"/>
        <v>0</v>
      </c>
      <c r="V28" s="106">
        <f t="shared" si="22"/>
        <v>0</v>
      </c>
      <c r="W28" s="106">
        <f t="shared" si="22"/>
        <v>0</v>
      </c>
      <c r="AT28" s="3">
        <f t="shared" si="14"/>
        <v>4</v>
      </c>
      <c r="AU28" s="182">
        <f>ROUND(K$15,0)-ROUND($AT28,0)</f>
        <v>0</v>
      </c>
    </row>
    <row r="29" spans="1:47" x14ac:dyDescent="0.2">
      <c r="A29" s="3" t="s">
        <v>293</v>
      </c>
      <c r="B29" s="3" t="s">
        <v>187</v>
      </c>
      <c r="K29" s="22"/>
      <c r="L29" s="22">
        <f>ROUND(+$L17,0)+1</f>
        <v>1</v>
      </c>
      <c r="M29" s="22"/>
      <c r="N29" s="106"/>
      <c r="O29" s="106"/>
      <c r="P29" s="106"/>
      <c r="Q29" s="106"/>
      <c r="R29" s="106"/>
      <c r="S29" s="106"/>
      <c r="T29" s="106"/>
      <c r="U29" s="106"/>
      <c r="V29" s="106"/>
      <c r="W29" s="106"/>
      <c r="X29" s="106"/>
      <c r="Y29" s="348"/>
      <c r="Z29" s="85"/>
      <c r="AA29" s="85"/>
      <c r="AB29" s="85"/>
      <c r="AC29" s="246"/>
      <c r="AD29" s="22"/>
      <c r="AE29" s="22"/>
      <c r="AF29" s="22"/>
      <c r="AG29" s="22"/>
      <c r="AH29" s="22"/>
      <c r="AI29" s="22"/>
      <c r="AJ29" s="22"/>
      <c r="AK29" s="22"/>
      <c r="AL29" s="22"/>
      <c r="AM29" s="22"/>
      <c r="AN29" s="22"/>
      <c r="AO29" s="22"/>
      <c r="AP29" s="22"/>
      <c r="AQ29" s="22"/>
      <c r="AR29" s="22"/>
      <c r="AS29" s="22"/>
      <c r="AT29" s="3">
        <f t="shared" si="14"/>
        <v>1</v>
      </c>
      <c r="AU29" s="182">
        <f>ROUND(L$15,0)-ROUND($AT29,0)</f>
        <v>0</v>
      </c>
    </row>
    <row r="30" spans="1:47" x14ac:dyDescent="0.2">
      <c r="A30" s="3" t="s">
        <v>320</v>
      </c>
      <c r="B30" s="3" t="s">
        <v>187</v>
      </c>
      <c r="K30" s="22"/>
      <c r="L30" s="22"/>
      <c r="M30" s="22">
        <f>ROUND(+$M17,0)</f>
        <v>-1</v>
      </c>
      <c r="N30" s="106">
        <f>ROUND(+$M17,0)</f>
        <v>-1</v>
      </c>
      <c r="O30" s="106">
        <f>ROUND(+$M17,0)</f>
        <v>-1</v>
      </c>
      <c r="P30" s="106">
        <f>ROUND(+$M17,0)</f>
        <v>-1</v>
      </c>
      <c r="Q30" s="106">
        <f>ROUND(+$M17,0)</f>
        <v>-1</v>
      </c>
      <c r="R30" s="106">
        <f t="shared" ref="R30:W30" si="23">ROUND(+$M17,0)</f>
        <v>-1</v>
      </c>
      <c r="S30" s="106">
        <f t="shared" si="23"/>
        <v>-1</v>
      </c>
      <c r="T30" s="106">
        <f t="shared" si="23"/>
        <v>-1</v>
      </c>
      <c r="U30" s="106">
        <f t="shared" si="23"/>
        <v>-1</v>
      </c>
      <c r="V30" s="106">
        <f t="shared" si="23"/>
        <v>-1</v>
      </c>
      <c r="W30" s="106">
        <f t="shared" si="23"/>
        <v>-1</v>
      </c>
      <c r="X30" s="106"/>
      <c r="Y30" s="348"/>
      <c r="Z30" s="85"/>
      <c r="AA30" s="85"/>
      <c r="AB30" s="85"/>
      <c r="AC30" s="246"/>
      <c r="AD30" s="106"/>
      <c r="AE30" s="106"/>
      <c r="AF30" s="106"/>
      <c r="AG30" s="106"/>
      <c r="AH30" s="106"/>
      <c r="AI30" s="106"/>
      <c r="AJ30" s="106"/>
      <c r="AK30" s="106"/>
      <c r="AL30" s="106"/>
      <c r="AM30" s="106"/>
      <c r="AN30" s="106"/>
      <c r="AO30" s="106"/>
      <c r="AP30" s="106"/>
      <c r="AQ30" s="106"/>
      <c r="AR30" s="106"/>
      <c r="AS30" s="106"/>
      <c r="AT30" s="3">
        <f t="shared" si="14"/>
        <v>-11</v>
      </c>
      <c r="AU30" s="182">
        <f>ROUND(M$15,0)-ROUND($AT30,0)</f>
        <v>0</v>
      </c>
    </row>
    <row r="31" spans="1:47" s="115" customFormat="1" x14ac:dyDescent="0.2">
      <c r="A31" s="121" t="s">
        <v>321</v>
      </c>
      <c r="B31" s="121" t="s">
        <v>187</v>
      </c>
      <c r="K31" s="106"/>
      <c r="L31" s="106"/>
      <c r="M31" s="106"/>
      <c r="N31" s="106">
        <f>ROUND(+$N17,0)</f>
        <v>-1</v>
      </c>
      <c r="O31" s="106">
        <f t="shared" ref="O31:Y31" si="24">ROUND(+$N17,0)</f>
        <v>-1</v>
      </c>
      <c r="P31" s="106">
        <f t="shared" si="24"/>
        <v>-1</v>
      </c>
      <c r="Q31" s="106">
        <f t="shared" si="24"/>
        <v>-1</v>
      </c>
      <c r="R31" s="106">
        <f t="shared" si="24"/>
        <v>-1</v>
      </c>
      <c r="S31" s="106">
        <f t="shared" si="24"/>
        <v>-1</v>
      </c>
      <c r="T31" s="106">
        <f t="shared" si="24"/>
        <v>-1</v>
      </c>
      <c r="U31" s="106">
        <f t="shared" si="24"/>
        <v>-1</v>
      </c>
      <c r="V31" s="106">
        <f t="shared" si="24"/>
        <v>-1</v>
      </c>
      <c r="W31" s="106">
        <f t="shared" si="24"/>
        <v>-1</v>
      </c>
      <c r="X31" s="106">
        <f t="shared" si="24"/>
        <v>-1</v>
      </c>
      <c r="Y31" s="348">
        <f t="shared" si="24"/>
        <v>-1</v>
      </c>
      <c r="Z31" s="85">
        <f>ROUND(+$N17,0)-1</f>
        <v>-2</v>
      </c>
      <c r="AA31" s="85"/>
      <c r="AB31" s="85"/>
      <c r="AC31" s="246"/>
      <c r="AD31" s="106"/>
      <c r="AE31" s="106"/>
      <c r="AF31" s="106"/>
      <c r="AG31" s="106"/>
      <c r="AH31" s="106"/>
      <c r="AI31" s="106"/>
      <c r="AJ31" s="106"/>
      <c r="AK31" s="106"/>
      <c r="AL31" s="106"/>
      <c r="AM31" s="106"/>
      <c r="AN31" s="106"/>
      <c r="AO31" s="106"/>
      <c r="AP31" s="106"/>
      <c r="AQ31" s="106"/>
      <c r="AR31" s="106"/>
      <c r="AS31" s="106"/>
      <c r="AT31" s="3">
        <f t="shared" si="14"/>
        <v>-14</v>
      </c>
      <c r="AU31" s="182">
        <f>ROUND(N$15,0)-ROUND($AT31,0)</f>
        <v>0</v>
      </c>
    </row>
    <row r="32" spans="1:47" s="115" customFormat="1" x14ac:dyDescent="0.2">
      <c r="A32" s="121" t="s">
        <v>322</v>
      </c>
      <c r="B32" s="121" t="s">
        <v>187</v>
      </c>
      <c r="K32" s="106"/>
      <c r="L32" s="106"/>
      <c r="M32" s="106"/>
      <c r="N32" s="106"/>
      <c r="O32" s="106"/>
      <c r="P32" s="106">
        <f t="shared" ref="P32:X32" si="25">ROUND(+$O17,0)</f>
        <v>-2</v>
      </c>
      <c r="Q32" s="106">
        <f t="shared" si="25"/>
        <v>-2</v>
      </c>
      <c r="R32" s="106">
        <f t="shared" si="25"/>
        <v>-2</v>
      </c>
      <c r="S32" s="106">
        <f t="shared" si="25"/>
        <v>-2</v>
      </c>
      <c r="T32" s="106">
        <f t="shared" si="25"/>
        <v>-2</v>
      </c>
      <c r="U32" s="106">
        <f t="shared" si="25"/>
        <v>-2</v>
      </c>
      <c r="V32" s="106">
        <f t="shared" si="25"/>
        <v>-2</v>
      </c>
      <c r="W32" s="106">
        <f t="shared" si="25"/>
        <v>-2</v>
      </c>
      <c r="X32" s="106">
        <f t="shared" si="25"/>
        <v>-2</v>
      </c>
      <c r="Y32" s="348">
        <f>ROUND(+$O17,0)+1</f>
        <v>-1</v>
      </c>
      <c r="Z32" s="85">
        <f>ROUND(+$O17,0)+1</f>
        <v>-1</v>
      </c>
      <c r="AA32" s="85">
        <f>ROUND(+$O17,0)+1</f>
        <v>-1</v>
      </c>
      <c r="AB32" s="85">
        <f>ROUND(+$O17,0)+1</f>
        <v>-1</v>
      </c>
      <c r="AC32" s="246"/>
      <c r="AD32" s="106"/>
      <c r="AE32" s="106"/>
      <c r="AF32" s="106"/>
      <c r="AG32" s="106"/>
      <c r="AH32" s="106"/>
      <c r="AI32" s="106"/>
      <c r="AJ32" s="106"/>
      <c r="AK32" s="106"/>
      <c r="AL32" s="106"/>
      <c r="AM32" s="106"/>
      <c r="AN32" s="106"/>
      <c r="AO32" s="106"/>
      <c r="AP32" s="106"/>
      <c r="AQ32" s="106"/>
      <c r="AR32" s="106"/>
      <c r="AS32" s="106"/>
      <c r="AT32" s="3">
        <f t="shared" si="14"/>
        <v>-22</v>
      </c>
      <c r="AU32" s="182">
        <f>ROUND(O$15,0)-ROUND($AT32,0)</f>
        <v>0</v>
      </c>
    </row>
    <row r="33" spans="1:47" s="115" customFormat="1" x14ac:dyDescent="0.2">
      <c r="A33" s="121" t="s">
        <v>323</v>
      </c>
      <c r="B33" s="121" t="s">
        <v>187</v>
      </c>
      <c r="K33" s="106"/>
      <c r="L33" s="106"/>
      <c r="M33" s="106"/>
      <c r="N33" s="106"/>
      <c r="O33" s="106"/>
      <c r="P33" s="106"/>
      <c r="Q33" s="106">
        <f t="shared" ref="Q33:W33" si="26">ROUND(+$P17,0)</f>
        <v>-1</v>
      </c>
      <c r="R33" s="106">
        <f t="shared" si="26"/>
        <v>-1</v>
      </c>
      <c r="S33" s="106">
        <f t="shared" si="26"/>
        <v>-1</v>
      </c>
      <c r="T33" s="106">
        <f t="shared" si="26"/>
        <v>-1</v>
      </c>
      <c r="U33" s="106">
        <f t="shared" si="26"/>
        <v>-1</v>
      </c>
      <c r="V33" s="106">
        <f t="shared" si="26"/>
        <v>-1</v>
      </c>
      <c r="W33" s="106">
        <f t="shared" si="26"/>
        <v>-1</v>
      </c>
      <c r="X33" s="106"/>
      <c r="Y33" s="348"/>
      <c r="Z33" s="85"/>
      <c r="AA33" s="85"/>
      <c r="AB33" s="85"/>
      <c r="AC33" s="246"/>
      <c r="AD33" s="106"/>
      <c r="AE33" s="106"/>
      <c r="AF33" s="106"/>
      <c r="AG33" s="106"/>
      <c r="AH33" s="106"/>
      <c r="AI33" s="106"/>
      <c r="AJ33" s="106"/>
      <c r="AK33" s="106"/>
      <c r="AL33" s="106"/>
      <c r="AM33" s="106"/>
      <c r="AN33" s="106"/>
      <c r="AO33" s="106"/>
      <c r="AP33" s="106"/>
      <c r="AQ33" s="106"/>
      <c r="AR33" s="106"/>
      <c r="AS33" s="106"/>
      <c r="AT33" s="3">
        <f t="shared" si="14"/>
        <v>-7</v>
      </c>
      <c r="AU33" s="182">
        <f>ROUND(P$15,0)-ROUND($AT33,0)</f>
        <v>0</v>
      </c>
    </row>
    <row r="34" spans="1:47" s="115" customFormat="1" x14ac:dyDescent="0.2">
      <c r="A34" s="121" t="s">
        <v>324</v>
      </c>
      <c r="B34" s="121" t="s">
        <v>187</v>
      </c>
      <c r="K34" s="106"/>
      <c r="L34" s="106"/>
      <c r="M34" s="106"/>
      <c r="N34" s="106"/>
      <c r="O34" s="106"/>
      <c r="P34" s="106"/>
      <c r="Q34" s="106"/>
      <c r="R34" s="106">
        <f t="shared" ref="R34:AA34" si="27">ROUND(+$Q17,0)</f>
        <v>-9</v>
      </c>
      <c r="S34" s="106">
        <f t="shared" si="27"/>
        <v>-9</v>
      </c>
      <c r="T34" s="106">
        <f t="shared" si="27"/>
        <v>-9</v>
      </c>
      <c r="U34" s="106">
        <f t="shared" si="27"/>
        <v>-9</v>
      </c>
      <c r="V34" s="106">
        <f t="shared" si="27"/>
        <v>-9</v>
      </c>
      <c r="W34" s="106">
        <f t="shared" si="27"/>
        <v>-9</v>
      </c>
      <c r="X34" s="106">
        <f t="shared" si="27"/>
        <v>-9</v>
      </c>
      <c r="Y34" s="348">
        <f t="shared" si="27"/>
        <v>-9</v>
      </c>
      <c r="Z34" s="85">
        <f t="shared" si="27"/>
        <v>-9</v>
      </c>
      <c r="AA34" s="85">
        <f t="shared" si="27"/>
        <v>-9</v>
      </c>
      <c r="AB34" s="85">
        <f>ROUND(+$Q17,0)</f>
        <v>-9</v>
      </c>
      <c r="AC34" s="246">
        <f>ROUND(+$Q17,0)</f>
        <v>-9</v>
      </c>
      <c r="AD34" s="106">
        <f>ROUND(+$Q17,0)</f>
        <v>-9</v>
      </c>
      <c r="AE34" s="106">
        <f>ROUND(+$Q17,0)+1</f>
        <v>-8</v>
      </c>
      <c r="AF34" s="106"/>
      <c r="AG34" s="106"/>
      <c r="AH34" s="106"/>
      <c r="AI34" s="106"/>
      <c r="AJ34" s="106"/>
      <c r="AK34" s="106"/>
      <c r="AL34" s="106"/>
      <c r="AM34" s="106"/>
      <c r="AN34" s="106"/>
      <c r="AO34" s="106"/>
      <c r="AP34" s="106"/>
      <c r="AQ34" s="106"/>
      <c r="AR34" s="106"/>
      <c r="AS34" s="106"/>
      <c r="AT34" s="3">
        <f t="shared" si="14"/>
        <v>-125</v>
      </c>
      <c r="AU34" s="182">
        <f>ROUND(Q$15,0)-ROUND($AT34,0)</f>
        <v>0</v>
      </c>
    </row>
    <row r="35" spans="1:47" s="115" customFormat="1" x14ac:dyDescent="0.2">
      <c r="A35" s="121" t="s">
        <v>325</v>
      </c>
      <c r="B35" s="121" t="s">
        <v>187</v>
      </c>
      <c r="K35" s="106"/>
      <c r="L35" s="106"/>
      <c r="M35" s="106"/>
      <c r="N35" s="106"/>
      <c r="O35" s="106"/>
      <c r="P35" s="106"/>
      <c r="Q35" s="106"/>
      <c r="R35" s="106"/>
      <c r="S35" s="106">
        <f t="shared" ref="S35:AB35" si="28">ROUND(+$R17,0)</f>
        <v>-2</v>
      </c>
      <c r="T35" s="106">
        <f t="shared" si="28"/>
        <v>-2</v>
      </c>
      <c r="U35" s="106">
        <f t="shared" si="28"/>
        <v>-2</v>
      </c>
      <c r="V35" s="106">
        <f t="shared" si="28"/>
        <v>-2</v>
      </c>
      <c r="W35" s="106">
        <f t="shared" si="28"/>
        <v>-2</v>
      </c>
      <c r="X35" s="106">
        <f t="shared" si="28"/>
        <v>-2</v>
      </c>
      <c r="Y35" s="348">
        <f t="shared" si="28"/>
        <v>-2</v>
      </c>
      <c r="Z35" s="85">
        <f t="shared" si="28"/>
        <v>-2</v>
      </c>
      <c r="AA35" s="85">
        <f t="shared" si="28"/>
        <v>-2</v>
      </c>
      <c r="AB35" s="85">
        <f t="shared" si="28"/>
        <v>-2</v>
      </c>
      <c r="AC35" s="246">
        <f>ROUND(+$R17,0)</f>
        <v>-2</v>
      </c>
      <c r="AD35" s="106">
        <f>ROUND(+$R17,0)</f>
        <v>-2</v>
      </c>
      <c r="AE35" s="106">
        <f>ROUND(+$R17,0)</f>
        <v>-2</v>
      </c>
      <c r="AF35" s="106">
        <f>ROUND(+$R17,0)-6</f>
        <v>-8</v>
      </c>
      <c r="AG35" s="106"/>
      <c r="AH35" s="106"/>
      <c r="AI35" s="106"/>
      <c r="AJ35" s="106"/>
      <c r="AK35" s="106"/>
      <c r="AL35" s="106"/>
      <c r="AM35" s="106"/>
      <c r="AN35" s="106"/>
      <c r="AO35" s="106"/>
      <c r="AP35" s="106"/>
      <c r="AQ35" s="106"/>
      <c r="AR35" s="106"/>
      <c r="AS35" s="106"/>
      <c r="AT35" s="3">
        <f t="shared" si="14"/>
        <v>-34</v>
      </c>
      <c r="AU35" s="182">
        <f>ROUND(R$15,0)-ROUND($AT35,0)</f>
        <v>0</v>
      </c>
    </row>
    <row r="36" spans="1:47" s="115" customFormat="1" x14ac:dyDescent="0.2">
      <c r="A36" s="121" t="s">
        <v>334</v>
      </c>
      <c r="B36" s="121" t="s">
        <v>187</v>
      </c>
      <c r="K36" s="106"/>
      <c r="L36" s="106"/>
      <c r="M36" s="106"/>
      <c r="N36" s="106"/>
      <c r="O36" s="106"/>
      <c r="P36" s="106"/>
      <c r="Q36" s="106"/>
      <c r="R36" s="106"/>
      <c r="S36" s="106"/>
      <c r="T36" s="106">
        <f t="shared" ref="T36:AF36" si="29">ROUND(+$S17,0)</f>
        <v>-2</v>
      </c>
      <c r="U36" s="106">
        <f t="shared" si="29"/>
        <v>-2</v>
      </c>
      <c r="V36" s="106">
        <f t="shared" si="29"/>
        <v>-2</v>
      </c>
      <c r="W36" s="106">
        <f t="shared" si="29"/>
        <v>-2</v>
      </c>
      <c r="X36" s="106">
        <f t="shared" si="29"/>
        <v>-2</v>
      </c>
      <c r="Y36" s="348">
        <f t="shared" si="29"/>
        <v>-2</v>
      </c>
      <c r="Z36" s="85">
        <f t="shared" si="29"/>
        <v>-2</v>
      </c>
      <c r="AA36" s="85">
        <f t="shared" si="29"/>
        <v>-2</v>
      </c>
      <c r="AB36" s="85">
        <f t="shared" si="29"/>
        <v>-2</v>
      </c>
      <c r="AC36" s="246">
        <f t="shared" si="29"/>
        <v>-2</v>
      </c>
      <c r="AD36" s="106">
        <f t="shared" si="29"/>
        <v>-2</v>
      </c>
      <c r="AE36" s="106">
        <f t="shared" si="29"/>
        <v>-2</v>
      </c>
      <c r="AF36" s="106">
        <f t="shared" si="29"/>
        <v>-2</v>
      </c>
      <c r="AG36" s="106">
        <f>ROUND(+$S17,0)-1</f>
        <v>-3</v>
      </c>
      <c r="AH36" s="106"/>
      <c r="AI36" s="106"/>
      <c r="AJ36" s="106"/>
      <c r="AK36" s="106"/>
      <c r="AL36" s="106"/>
      <c r="AM36" s="106"/>
      <c r="AN36" s="106"/>
      <c r="AO36" s="106"/>
      <c r="AP36" s="106"/>
      <c r="AQ36" s="106"/>
      <c r="AR36" s="106"/>
      <c r="AS36" s="106"/>
      <c r="AT36" s="3">
        <f>SUM(C36:AM36)</f>
        <v>-29</v>
      </c>
      <c r="AU36" s="210">
        <f>ROUND(S$15,0)-ROUND($AT36,0)</f>
        <v>0</v>
      </c>
    </row>
    <row r="37" spans="1:47" s="115" customFormat="1" x14ac:dyDescent="0.2">
      <c r="A37" s="121" t="s">
        <v>335</v>
      </c>
      <c r="B37" s="121" t="s">
        <v>187</v>
      </c>
      <c r="K37" s="106"/>
      <c r="L37" s="106"/>
      <c r="M37" s="106"/>
      <c r="N37" s="106"/>
      <c r="O37" s="106"/>
      <c r="P37" s="106"/>
      <c r="Q37" s="106"/>
      <c r="R37" s="106"/>
      <c r="S37" s="106"/>
      <c r="T37" s="106"/>
      <c r="U37" s="106">
        <f t="shared" ref="U37:AE37" si="30">ROUND(+$T17,0)</f>
        <v>-1</v>
      </c>
      <c r="V37" s="106">
        <f t="shared" si="30"/>
        <v>-1</v>
      </c>
      <c r="W37" s="106">
        <f t="shared" si="30"/>
        <v>-1</v>
      </c>
      <c r="X37" s="106">
        <f t="shared" si="30"/>
        <v>-1</v>
      </c>
      <c r="Y37" s="348">
        <f t="shared" si="30"/>
        <v>-1</v>
      </c>
      <c r="Z37" s="85">
        <f t="shared" si="30"/>
        <v>-1</v>
      </c>
      <c r="AA37" s="85">
        <f t="shared" si="30"/>
        <v>-1</v>
      </c>
      <c r="AB37" s="85">
        <f t="shared" si="30"/>
        <v>-1</v>
      </c>
      <c r="AC37" s="246">
        <f t="shared" si="30"/>
        <v>-1</v>
      </c>
      <c r="AD37" s="106">
        <f t="shared" si="30"/>
        <v>-1</v>
      </c>
      <c r="AE37" s="106">
        <f t="shared" si="30"/>
        <v>-1</v>
      </c>
      <c r="AF37" s="106">
        <f>ROUND(+$T17,0)+1</f>
        <v>0</v>
      </c>
      <c r="AG37" s="106">
        <f>ROUND(+$T17,0)+1</f>
        <v>0</v>
      </c>
      <c r="AH37" s="106">
        <f>ROUND(+$T17,0)+1</f>
        <v>0</v>
      </c>
      <c r="AI37" s="106"/>
      <c r="AJ37" s="106"/>
      <c r="AK37" s="106"/>
      <c r="AL37" s="106"/>
      <c r="AM37" s="106"/>
      <c r="AN37" s="106"/>
      <c r="AO37" s="106"/>
      <c r="AP37" s="106"/>
      <c r="AQ37" s="106"/>
      <c r="AR37" s="106"/>
      <c r="AS37" s="106"/>
      <c r="AT37" s="121">
        <f>SUM(C37:AM37)</f>
        <v>-11</v>
      </c>
      <c r="AU37" s="210">
        <f>ROUND(T$15,0)-(ROUND($AT37,0))</f>
        <v>0</v>
      </c>
    </row>
    <row r="38" spans="1:47" s="115" customFormat="1" x14ac:dyDescent="0.2">
      <c r="A38" s="121" t="s">
        <v>339</v>
      </c>
      <c r="B38" s="121" t="s">
        <v>187</v>
      </c>
      <c r="K38" s="106"/>
      <c r="L38" s="106"/>
      <c r="M38" s="106"/>
      <c r="N38" s="106"/>
      <c r="O38" s="106"/>
      <c r="P38" s="106"/>
      <c r="Q38" s="106"/>
      <c r="R38" s="106"/>
      <c r="S38" s="106"/>
      <c r="T38" s="106"/>
      <c r="U38" s="106"/>
      <c r="V38" s="106">
        <f>ROUND(+$U17,0)</f>
        <v>-2</v>
      </c>
      <c r="W38" s="106">
        <f t="shared" ref="W38:AF38" si="31">ROUND(+$U17,0)</f>
        <v>-2</v>
      </c>
      <c r="X38" s="106">
        <f t="shared" si="31"/>
        <v>-2</v>
      </c>
      <c r="Y38" s="348">
        <f t="shared" si="31"/>
        <v>-2</v>
      </c>
      <c r="Z38" s="85">
        <f t="shared" si="31"/>
        <v>-2</v>
      </c>
      <c r="AA38" s="85">
        <f t="shared" si="31"/>
        <v>-2</v>
      </c>
      <c r="AB38" s="85">
        <f t="shared" si="31"/>
        <v>-2</v>
      </c>
      <c r="AC38" s="246">
        <f t="shared" si="31"/>
        <v>-2</v>
      </c>
      <c r="AD38" s="106">
        <f t="shared" si="31"/>
        <v>-2</v>
      </c>
      <c r="AE38" s="106">
        <f t="shared" si="31"/>
        <v>-2</v>
      </c>
      <c r="AF38" s="106">
        <f t="shared" si="31"/>
        <v>-2</v>
      </c>
      <c r="AG38" s="106">
        <f>ROUND(+$U17,0)</f>
        <v>-2</v>
      </c>
      <c r="AH38" s="106">
        <f>ROUND(+$U17,0)</f>
        <v>-2</v>
      </c>
      <c r="AI38" s="106">
        <f>ROUND(+$U17,0)</f>
        <v>-2</v>
      </c>
      <c r="AJ38" s="106">
        <f>ROUND(+$U17,0)</f>
        <v>-2</v>
      </c>
      <c r="AK38" s="106"/>
      <c r="AL38" s="106"/>
      <c r="AM38" s="106"/>
      <c r="AN38" s="106"/>
      <c r="AO38" s="106"/>
      <c r="AP38" s="106"/>
      <c r="AQ38" s="106"/>
      <c r="AR38" s="106"/>
      <c r="AS38" s="106"/>
      <c r="AT38" s="121">
        <f t="shared" si="14"/>
        <v>-30</v>
      </c>
      <c r="AU38" s="210">
        <f>ROUND(U$15,0)-ROUND($AT38,0)</f>
        <v>0</v>
      </c>
    </row>
    <row r="39" spans="1:47" s="115" customFormat="1" x14ac:dyDescent="0.2">
      <c r="A39" s="121" t="s">
        <v>351</v>
      </c>
      <c r="B39" s="121" t="s">
        <v>187</v>
      </c>
      <c r="K39" s="106"/>
      <c r="L39" s="106"/>
      <c r="M39" s="106"/>
      <c r="N39" s="106"/>
      <c r="O39" s="106"/>
      <c r="P39" s="106"/>
      <c r="Q39" s="106"/>
      <c r="R39" s="106"/>
      <c r="S39" s="106"/>
      <c r="T39" s="106"/>
      <c r="U39" s="106"/>
      <c r="V39" s="106"/>
      <c r="W39" s="364">
        <f>ROUND(+$V17,0)</f>
        <v>-3</v>
      </c>
      <c r="X39" s="106">
        <f t="shared" ref="X39:AG39" si="32">ROUND(+$V17,0)</f>
        <v>-3</v>
      </c>
      <c r="Y39" s="348">
        <f t="shared" si="32"/>
        <v>-3</v>
      </c>
      <c r="Z39" s="85">
        <f t="shared" si="32"/>
        <v>-3</v>
      </c>
      <c r="AA39" s="85">
        <f t="shared" si="32"/>
        <v>-3</v>
      </c>
      <c r="AB39" s="85">
        <f t="shared" si="32"/>
        <v>-3</v>
      </c>
      <c r="AC39" s="246">
        <f t="shared" si="32"/>
        <v>-3</v>
      </c>
      <c r="AD39" s="106">
        <f t="shared" si="32"/>
        <v>-3</v>
      </c>
      <c r="AE39" s="106">
        <f t="shared" si="32"/>
        <v>-3</v>
      </c>
      <c r="AF39" s="106">
        <f t="shared" si="32"/>
        <v>-3</v>
      </c>
      <c r="AG39" s="106">
        <f t="shared" si="32"/>
        <v>-3</v>
      </c>
      <c r="AH39" s="106">
        <f>ROUND(+$V17,0)</f>
        <v>-3</v>
      </c>
      <c r="AI39" s="313">
        <f>ROUND(+$V17,0)+1</f>
        <v>-2</v>
      </c>
      <c r="AJ39" s="313">
        <f>ROUND(+$V17,0)+1</f>
        <v>-2</v>
      </c>
      <c r="AK39" s="106"/>
      <c r="AL39" s="106"/>
      <c r="AM39" s="106"/>
      <c r="AN39" s="106"/>
      <c r="AO39" s="106"/>
      <c r="AP39" s="106"/>
      <c r="AQ39" s="106"/>
      <c r="AR39" s="106"/>
      <c r="AS39" s="106"/>
      <c r="AT39" s="121">
        <f t="shared" si="14"/>
        <v>-40</v>
      </c>
      <c r="AU39" s="210">
        <f>ROUND(V$15,0)-ROUND($AT39,0)</f>
        <v>0</v>
      </c>
    </row>
    <row r="40" spans="1:47" s="115" customFormat="1" x14ac:dyDescent="0.2">
      <c r="A40" s="121" t="s">
        <v>359</v>
      </c>
      <c r="B40" s="121" t="s">
        <v>187</v>
      </c>
      <c r="K40" s="106"/>
      <c r="L40" s="106"/>
      <c r="M40" s="106"/>
      <c r="N40" s="106"/>
      <c r="O40" s="106"/>
      <c r="P40" s="106"/>
      <c r="Q40" s="106"/>
      <c r="R40" s="106"/>
      <c r="S40" s="106"/>
      <c r="T40" s="106"/>
      <c r="U40" s="106"/>
      <c r="V40" s="106"/>
      <c r="W40" s="363"/>
      <c r="X40" s="106">
        <f t="shared" ref="X40:AG40" si="33">ROUND(+$W17,0)</f>
        <v>-3</v>
      </c>
      <c r="Y40" s="348">
        <f t="shared" si="33"/>
        <v>-3</v>
      </c>
      <c r="Z40" s="85">
        <f t="shared" si="33"/>
        <v>-3</v>
      </c>
      <c r="AA40" s="85">
        <f t="shared" si="33"/>
        <v>-3</v>
      </c>
      <c r="AB40" s="85">
        <f t="shared" si="33"/>
        <v>-3</v>
      </c>
      <c r="AC40" s="246">
        <f t="shared" si="33"/>
        <v>-3</v>
      </c>
      <c r="AD40" s="106">
        <f t="shared" si="33"/>
        <v>-3</v>
      </c>
      <c r="AE40" s="106">
        <f t="shared" si="33"/>
        <v>-3</v>
      </c>
      <c r="AF40" s="106">
        <f t="shared" si="33"/>
        <v>-3</v>
      </c>
      <c r="AG40" s="106">
        <f t="shared" si="33"/>
        <v>-3</v>
      </c>
      <c r="AH40" s="313">
        <f>ROUND(+$W17,0)+1</f>
        <v>-2</v>
      </c>
      <c r="AI40" s="313">
        <f>ROUND(+$W17,0)+1</f>
        <v>-2</v>
      </c>
      <c r="AJ40" s="313">
        <f>ROUND(+$W17,0)+1</f>
        <v>-2</v>
      </c>
      <c r="AK40" s="313">
        <f>ROUND(+$W17,0)+1</f>
        <v>-2</v>
      </c>
      <c r="AL40" s="313">
        <f>ROUND(+$W17,0)+1</f>
        <v>-2</v>
      </c>
      <c r="AM40" s="106"/>
      <c r="AN40" s="106"/>
      <c r="AO40" s="106"/>
      <c r="AP40" s="106"/>
      <c r="AQ40" s="106"/>
      <c r="AR40" s="106"/>
      <c r="AS40" s="106"/>
      <c r="AT40" s="121">
        <f t="shared" si="14"/>
        <v>-40</v>
      </c>
      <c r="AU40" s="210">
        <f>ROUND(W$15,0)-ROUND($AT40,0)</f>
        <v>0</v>
      </c>
    </row>
    <row r="41" spans="1:47" s="397" customFormat="1" x14ac:dyDescent="0.2">
      <c r="A41" s="396" t="s">
        <v>361</v>
      </c>
      <c r="B41" s="396" t="s">
        <v>187</v>
      </c>
      <c r="K41" s="398"/>
      <c r="L41" s="398"/>
      <c r="M41" s="398"/>
      <c r="N41" s="398"/>
      <c r="O41" s="398"/>
      <c r="P41" s="398"/>
      <c r="Q41" s="398"/>
      <c r="R41" s="398"/>
      <c r="S41" s="398"/>
      <c r="T41" s="398"/>
      <c r="U41" s="398"/>
      <c r="V41" s="398"/>
      <c r="W41" s="399"/>
      <c r="X41" s="106"/>
      <c r="Y41" s="398">
        <f>ROUND(+$X17,0)</f>
        <v>-3</v>
      </c>
      <c r="Z41" s="398">
        <f t="shared" ref="Z41:AI41" si="34">ROUND(+$X17,0)</f>
        <v>-3</v>
      </c>
      <c r="AA41" s="398">
        <f t="shared" si="34"/>
        <v>-3</v>
      </c>
      <c r="AB41" s="398">
        <f t="shared" si="34"/>
        <v>-3</v>
      </c>
      <c r="AC41" s="398">
        <f t="shared" si="34"/>
        <v>-3</v>
      </c>
      <c r="AD41" s="398">
        <f t="shared" si="34"/>
        <v>-3</v>
      </c>
      <c r="AE41" s="398">
        <f t="shared" si="34"/>
        <v>-3</v>
      </c>
      <c r="AF41" s="398">
        <f t="shared" si="34"/>
        <v>-3</v>
      </c>
      <c r="AG41" s="398">
        <f t="shared" si="34"/>
        <v>-3</v>
      </c>
      <c r="AH41" s="398">
        <f t="shared" si="34"/>
        <v>-3</v>
      </c>
      <c r="AI41" s="398">
        <f t="shared" si="34"/>
        <v>-3</v>
      </c>
      <c r="AJ41" s="398">
        <f>ROUND(+$X17,0)</f>
        <v>-3</v>
      </c>
      <c r="AK41" s="398">
        <f>ROUND(+$X17,0)</f>
        <v>-3</v>
      </c>
      <c r="AL41" s="404">
        <f>ROUND(+$X17,0)+1</f>
        <v>-2</v>
      </c>
      <c r="AM41" s="404">
        <f>ROUND(+$X17,0)+1</f>
        <v>-2</v>
      </c>
      <c r="AN41" s="398"/>
      <c r="AO41" s="398"/>
      <c r="AP41" s="398"/>
      <c r="AQ41" s="398"/>
      <c r="AR41" s="398"/>
      <c r="AS41" s="398"/>
      <c r="AT41" s="396">
        <f>SUM(C41:AM41)</f>
        <v>-43</v>
      </c>
      <c r="AU41" s="400">
        <f>ROUND(X$15,0)-ROUND($AT41,0)</f>
        <v>0</v>
      </c>
    </row>
    <row r="42" spans="1:47" s="76" customFormat="1" x14ac:dyDescent="0.2">
      <c r="A42" s="237" t="s">
        <v>364</v>
      </c>
      <c r="B42" s="79" t="s">
        <v>187</v>
      </c>
      <c r="K42" s="85"/>
      <c r="L42" s="85"/>
      <c r="M42" s="85"/>
      <c r="N42" s="85"/>
      <c r="O42" s="85"/>
      <c r="P42" s="85"/>
      <c r="Q42" s="85"/>
      <c r="R42" s="85"/>
      <c r="S42" s="85"/>
      <c r="T42" s="85"/>
      <c r="U42" s="85"/>
      <c r="V42" s="85"/>
      <c r="W42" s="85"/>
      <c r="X42" s="106"/>
      <c r="Y42" s="348"/>
      <c r="Z42" s="85">
        <f>ROUND($Y17,0)</f>
        <v>-2</v>
      </c>
      <c r="AA42" s="85">
        <f t="shared" ref="AA42:AI42" si="35">ROUND($Y17,0)</f>
        <v>-2</v>
      </c>
      <c r="AB42" s="85">
        <f t="shared" si="35"/>
        <v>-2</v>
      </c>
      <c r="AC42" s="246">
        <f t="shared" si="35"/>
        <v>-2</v>
      </c>
      <c r="AD42" s="85">
        <f t="shared" si="35"/>
        <v>-2</v>
      </c>
      <c r="AE42" s="85">
        <f t="shared" si="35"/>
        <v>-2</v>
      </c>
      <c r="AF42" s="85">
        <f t="shared" si="35"/>
        <v>-2</v>
      </c>
      <c r="AG42" s="85">
        <f t="shared" si="35"/>
        <v>-2</v>
      </c>
      <c r="AH42" s="85">
        <f t="shared" si="35"/>
        <v>-2</v>
      </c>
      <c r="AI42" s="85">
        <f t="shared" si="35"/>
        <v>-2</v>
      </c>
      <c r="AJ42" s="403">
        <f>ROUND($Y17,0)</f>
        <v>-2</v>
      </c>
      <c r="AK42" s="403">
        <f>ROUND($Y17,0)+1</f>
        <v>-1</v>
      </c>
      <c r="AL42" s="403">
        <f>ROUND($Y17,0)+1</f>
        <v>-1</v>
      </c>
      <c r="AM42" s="403">
        <f>ROUND($Y17,0)+1</f>
        <v>-1</v>
      </c>
      <c r="AN42" s="403">
        <f>ROUND($Y17,0)+1</f>
        <v>-1</v>
      </c>
      <c r="AO42" s="403"/>
      <c r="AP42" s="85"/>
      <c r="AQ42" s="85"/>
      <c r="AR42" s="85"/>
      <c r="AS42" s="85"/>
      <c r="AT42" s="79">
        <f t="shared" ref="AT42:AT45" si="36">SUM(R42:AS42)</f>
        <v>-26</v>
      </c>
      <c r="AU42" s="184">
        <f>ROUND(Y$15,0)-ROUND($AT42,0)</f>
        <v>1</v>
      </c>
    </row>
    <row r="43" spans="1:47" s="76" customFormat="1" x14ac:dyDescent="0.2">
      <c r="A43" s="237" t="s">
        <v>370</v>
      </c>
      <c r="B43" s="237" t="s">
        <v>187</v>
      </c>
      <c r="K43" s="85"/>
      <c r="L43" s="85"/>
      <c r="M43" s="85"/>
      <c r="N43" s="85"/>
      <c r="O43" s="85"/>
      <c r="P43" s="85"/>
      <c r="Q43" s="85"/>
      <c r="R43" s="85"/>
      <c r="S43" s="85"/>
      <c r="T43" s="85"/>
      <c r="U43" s="85"/>
      <c r="V43" s="85"/>
      <c r="W43" s="85"/>
      <c r="X43" s="106"/>
      <c r="Y43" s="348"/>
      <c r="Z43" s="85"/>
      <c r="AA43" s="85">
        <f>$Z$17</f>
        <v>-1.5262835319386376</v>
      </c>
      <c r="AB43" s="85">
        <f t="shared" ref="AB43:AO43" si="37">$Z$17</f>
        <v>-1.5262835319386376</v>
      </c>
      <c r="AC43" s="246">
        <f t="shared" si="37"/>
        <v>-1.5262835319386376</v>
      </c>
      <c r="AD43" s="85">
        <f t="shared" si="37"/>
        <v>-1.5262835319386376</v>
      </c>
      <c r="AE43" s="85">
        <f t="shared" si="37"/>
        <v>-1.5262835319386376</v>
      </c>
      <c r="AF43" s="85">
        <f t="shared" si="37"/>
        <v>-1.5262835319386376</v>
      </c>
      <c r="AG43" s="85">
        <f t="shared" si="37"/>
        <v>-1.5262835319386376</v>
      </c>
      <c r="AH43" s="85">
        <f t="shared" si="37"/>
        <v>-1.5262835319386376</v>
      </c>
      <c r="AI43" s="85">
        <f t="shared" si="37"/>
        <v>-1.5262835319386376</v>
      </c>
      <c r="AJ43" s="85">
        <f t="shared" si="37"/>
        <v>-1.5262835319386376</v>
      </c>
      <c r="AK43" s="85">
        <f t="shared" si="37"/>
        <v>-1.5262835319386376</v>
      </c>
      <c r="AL43" s="85">
        <f t="shared" si="37"/>
        <v>-1.5262835319386376</v>
      </c>
      <c r="AM43" s="85">
        <f t="shared" si="37"/>
        <v>-1.5262835319386376</v>
      </c>
      <c r="AN43" s="85">
        <f t="shared" si="37"/>
        <v>-1.5262835319386376</v>
      </c>
      <c r="AO43" s="85">
        <f t="shared" si="37"/>
        <v>-1.5262835319386376</v>
      </c>
      <c r="AP43" s="85"/>
      <c r="AQ43" s="85"/>
      <c r="AR43" s="85"/>
      <c r="AS43" s="85"/>
      <c r="AT43" s="79">
        <f t="shared" si="36"/>
        <v>-22.894252979079571</v>
      </c>
      <c r="AU43" s="184">
        <f>contributions!Z15-AT43</f>
        <v>-0.4578850595815851</v>
      </c>
    </row>
    <row r="44" spans="1:47" s="76" customFormat="1" x14ac:dyDescent="0.2">
      <c r="A44" s="393" t="s">
        <v>372</v>
      </c>
      <c r="B44" s="393" t="s">
        <v>187</v>
      </c>
      <c r="C44" s="394"/>
      <c r="D44" s="394"/>
      <c r="E44" s="394"/>
      <c r="F44" s="394"/>
      <c r="G44" s="394"/>
      <c r="H44" s="394"/>
      <c r="I44" s="394"/>
      <c r="J44" s="394"/>
      <c r="K44" s="395"/>
      <c r="L44" s="395"/>
      <c r="M44" s="395"/>
      <c r="N44" s="395"/>
      <c r="O44" s="395"/>
      <c r="P44" s="395"/>
      <c r="Q44" s="395"/>
      <c r="R44" s="395"/>
      <c r="S44" s="395"/>
      <c r="T44" s="395"/>
      <c r="U44" s="85"/>
      <c r="V44" s="85"/>
      <c r="W44" s="85"/>
      <c r="X44" s="106"/>
      <c r="Y44" s="348"/>
      <c r="Z44" s="85"/>
      <c r="AA44" s="85"/>
      <c r="AB44" s="85">
        <f>$AA$17</f>
        <v>-1.5469464668055755</v>
      </c>
      <c r="AC44" s="246">
        <f t="shared" ref="AC44:AP44" si="38">$AA$17</f>
        <v>-1.5469464668055755</v>
      </c>
      <c r="AD44" s="85">
        <f t="shared" si="38"/>
        <v>-1.5469464668055755</v>
      </c>
      <c r="AE44" s="85">
        <f t="shared" si="38"/>
        <v>-1.5469464668055755</v>
      </c>
      <c r="AF44" s="85">
        <f t="shared" si="38"/>
        <v>-1.5469464668055755</v>
      </c>
      <c r="AG44" s="85">
        <f t="shared" si="38"/>
        <v>-1.5469464668055755</v>
      </c>
      <c r="AH44" s="85">
        <f t="shared" si="38"/>
        <v>-1.5469464668055755</v>
      </c>
      <c r="AI44" s="85">
        <f t="shared" si="38"/>
        <v>-1.5469464668055755</v>
      </c>
      <c r="AJ44" s="85">
        <f t="shared" si="38"/>
        <v>-1.5469464668055755</v>
      </c>
      <c r="AK44" s="85">
        <f t="shared" si="38"/>
        <v>-1.5469464668055755</v>
      </c>
      <c r="AL44" s="85">
        <f t="shared" si="38"/>
        <v>-1.5469464668055755</v>
      </c>
      <c r="AM44" s="85">
        <f t="shared" si="38"/>
        <v>-1.5469464668055755</v>
      </c>
      <c r="AN44" s="85">
        <f t="shared" si="38"/>
        <v>-1.5469464668055755</v>
      </c>
      <c r="AO44" s="85">
        <f t="shared" si="38"/>
        <v>-1.5469464668055755</v>
      </c>
      <c r="AP44" s="85">
        <f t="shared" si="38"/>
        <v>-1.5469464668055755</v>
      </c>
      <c r="AQ44" s="85"/>
      <c r="AR44" s="85"/>
      <c r="AS44" s="85"/>
      <c r="AT44" s="79">
        <f t="shared" si="36"/>
        <v>-23.204197002083632</v>
      </c>
      <c r="AU44" s="184">
        <f>contributions!AA15-AT44</f>
        <v>-0.46408394004167519</v>
      </c>
    </row>
    <row r="45" spans="1:47" s="76" customFormat="1" x14ac:dyDescent="0.2">
      <c r="A45" s="393" t="s">
        <v>419</v>
      </c>
      <c r="B45" s="393" t="s">
        <v>418</v>
      </c>
      <c r="K45" s="85"/>
      <c r="L45" s="85"/>
      <c r="M45" s="85"/>
      <c r="N45" s="85"/>
      <c r="O45" s="85"/>
      <c r="P45" s="85"/>
      <c r="Q45" s="85"/>
      <c r="R45" s="85"/>
      <c r="S45" s="85"/>
      <c r="T45" s="85"/>
      <c r="U45" s="85"/>
      <c r="V45" s="85"/>
      <c r="W45" s="85"/>
      <c r="X45" s="106"/>
      <c r="Y45" s="348"/>
      <c r="Z45" s="85"/>
      <c r="AA45" s="85"/>
      <c r="AB45" s="85"/>
      <c r="AC45" s="246">
        <f>$AB$17</f>
        <v>-1.5655164988873063</v>
      </c>
      <c r="AD45" s="85">
        <f t="shared" ref="AD45:AO45" si="39">$AB$17</f>
        <v>-1.5655164988873063</v>
      </c>
      <c r="AE45" s="85">
        <f t="shared" si="39"/>
        <v>-1.5655164988873063</v>
      </c>
      <c r="AF45" s="85">
        <f t="shared" si="39"/>
        <v>-1.5655164988873063</v>
      </c>
      <c r="AG45" s="85">
        <f t="shared" si="39"/>
        <v>-1.5655164988873063</v>
      </c>
      <c r="AH45" s="85">
        <f t="shared" si="39"/>
        <v>-1.5655164988873063</v>
      </c>
      <c r="AI45" s="85">
        <f t="shared" si="39"/>
        <v>-1.5655164988873063</v>
      </c>
      <c r="AJ45" s="85">
        <f t="shared" si="39"/>
        <v>-1.5655164988873063</v>
      </c>
      <c r="AK45" s="85">
        <f t="shared" si="39"/>
        <v>-1.5655164988873063</v>
      </c>
      <c r="AL45" s="85">
        <f t="shared" si="39"/>
        <v>-1.5655164988873063</v>
      </c>
      <c r="AM45" s="85">
        <f t="shared" si="39"/>
        <v>-1.5655164988873063</v>
      </c>
      <c r="AN45" s="85">
        <f t="shared" si="39"/>
        <v>-1.5655164988873063</v>
      </c>
      <c r="AO45" s="85">
        <f t="shared" si="39"/>
        <v>-1.5655164988873063</v>
      </c>
      <c r="AP45" s="85">
        <f>$AB$17</f>
        <v>-1.5655164988873063</v>
      </c>
      <c r="AQ45" s="85">
        <f>$AB$17</f>
        <v>-1.5655164988873063</v>
      </c>
      <c r="AR45" s="85"/>
      <c r="AS45" s="85"/>
      <c r="AT45" s="79">
        <f t="shared" si="36"/>
        <v>-23.482747483309588</v>
      </c>
      <c r="AU45" s="184">
        <f>contributions!AB15-AT45</f>
        <v>-0.46965494966620014</v>
      </c>
    </row>
    <row r="46" spans="1:47" s="76" customFormat="1" x14ac:dyDescent="0.2">
      <c r="A46" s="225" t="s">
        <v>446</v>
      </c>
      <c r="B46" s="225" t="s">
        <v>418</v>
      </c>
      <c r="K46" s="85"/>
      <c r="L46" s="85"/>
      <c r="M46" s="85"/>
      <c r="N46" s="85"/>
      <c r="O46" s="85"/>
      <c r="P46" s="85"/>
      <c r="Q46" s="85"/>
      <c r="R46" s="85"/>
      <c r="S46" s="85"/>
      <c r="T46" s="85"/>
      <c r="U46" s="85"/>
      <c r="V46" s="85"/>
      <c r="W46" s="85"/>
      <c r="X46" s="106"/>
      <c r="Y46" s="348"/>
      <c r="Z46" s="85"/>
      <c r="AA46" s="85"/>
      <c r="AB46" s="85"/>
      <c r="AC46" s="246"/>
      <c r="AD46" s="85">
        <f>$AC$17</f>
        <v>-1.5847300497012689</v>
      </c>
      <c r="AE46" s="85">
        <f t="shared" ref="AE46:AQ46" si="40">$AC$17</f>
        <v>-1.5847300497012689</v>
      </c>
      <c r="AF46" s="85">
        <f t="shared" si="40"/>
        <v>-1.5847300497012689</v>
      </c>
      <c r="AG46" s="85">
        <f t="shared" si="40"/>
        <v>-1.5847300497012689</v>
      </c>
      <c r="AH46" s="85">
        <f t="shared" si="40"/>
        <v>-1.5847300497012689</v>
      </c>
      <c r="AI46" s="85">
        <f t="shared" si="40"/>
        <v>-1.5847300497012689</v>
      </c>
      <c r="AJ46" s="85">
        <f t="shared" si="40"/>
        <v>-1.5847300497012689</v>
      </c>
      <c r="AK46" s="85">
        <f t="shared" si="40"/>
        <v>-1.5847300497012689</v>
      </c>
      <c r="AL46" s="85">
        <f t="shared" si="40"/>
        <v>-1.5847300497012689</v>
      </c>
      <c r="AM46" s="85">
        <f t="shared" si="40"/>
        <v>-1.5847300497012689</v>
      </c>
      <c r="AN46" s="85">
        <f t="shared" si="40"/>
        <v>-1.5847300497012689</v>
      </c>
      <c r="AO46" s="85">
        <f t="shared" si="40"/>
        <v>-1.5847300497012689</v>
      </c>
      <c r="AP46" s="85">
        <f t="shared" si="40"/>
        <v>-1.5847300497012689</v>
      </c>
      <c r="AQ46" s="85">
        <f t="shared" si="40"/>
        <v>-1.5847300497012689</v>
      </c>
      <c r="AR46" s="85">
        <f>$AC$17</f>
        <v>-1.5847300497012689</v>
      </c>
      <c r="AS46" s="85"/>
      <c r="AT46" s="79">
        <f>SUM(R46:AS46)</f>
        <v>-23.770950745519031</v>
      </c>
      <c r="AU46" s="184">
        <f>contributions!AC15-AT46</f>
        <v>-0.47541901491038274</v>
      </c>
    </row>
    <row r="47" spans="1:47" s="18" customFormat="1" ht="15.75" x14ac:dyDescent="0.25">
      <c r="A47" s="18" t="s">
        <v>167</v>
      </c>
      <c r="C47" s="43">
        <f>SUM(C20:C43)</f>
        <v>-10</v>
      </c>
      <c r="D47" s="43">
        <f t="shared" ref="D47:Z47" si="41">SUM(D20:D43)</f>
        <v>-16</v>
      </c>
      <c r="E47" s="43">
        <f t="shared" si="41"/>
        <v>-13</v>
      </c>
      <c r="F47" s="43">
        <f t="shared" si="41"/>
        <v>-1</v>
      </c>
      <c r="G47" s="43">
        <f t="shared" si="41"/>
        <v>18</v>
      </c>
      <c r="H47" s="43">
        <f t="shared" si="41"/>
        <v>36</v>
      </c>
      <c r="I47" s="43">
        <f t="shared" si="41"/>
        <v>39</v>
      </c>
      <c r="J47" s="43">
        <f t="shared" si="41"/>
        <v>40</v>
      </c>
      <c r="K47" s="43">
        <f t="shared" si="41"/>
        <v>43</v>
      </c>
      <c r="L47" s="43">
        <f t="shared" si="41"/>
        <v>44</v>
      </c>
      <c r="M47" s="43">
        <f t="shared" si="41"/>
        <v>42</v>
      </c>
      <c r="N47" s="141">
        <f t="shared" si="41"/>
        <v>40</v>
      </c>
      <c r="O47" s="141">
        <f t="shared" si="41"/>
        <v>39</v>
      </c>
      <c r="P47" s="141">
        <f t="shared" si="41"/>
        <v>36</v>
      </c>
      <c r="Q47" s="141">
        <f t="shared" si="41"/>
        <v>44</v>
      </c>
      <c r="R47" s="141">
        <f t="shared" si="41"/>
        <v>40</v>
      </c>
      <c r="S47" s="141">
        <f t="shared" si="41"/>
        <v>36</v>
      </c>
      <c r="T47" s="141">
        <f>SUM(T20:T43)</f>
        <v>2</v>
      </c>
      <c r="U47" s="141">
        <f t="shared" si="41"/>
        <v>-18</v>
      </c>
      <c r="V47" s="141">
        <f t="shared" si="41"/>
        <v>-20</v>
      </c>
      <c r="W47" s="141">
        <f t="shared" si="41"/>
        <v>-24</v>
      </c>
      <c r="X47" s="141">
        <f t="shared" si="41"/>
        <v>-25</v>
      </c>
      <c r="Y47" s="362">
        <f t="shared" si="41"/>
        <v>-27</v>
      </c>
      <c r="Z47" s="96">
        <f t="shared" si="41"/>
        <v>-30</v>
      </c>
      <c r="AA47" s="96">
        <f>SUM(AA20:AA44)</f>
        <v>-29.526283531938638</v>
      </c>
      <c r="AB47" s="96">
        <f>SUM(AB20:AB45)</f>
        <v>-31.073229998744214</v>
      </c>
      <c r="AC47" s="263">
        <f t="shared" ref="AC47" si="42">SUM(AC20:AC45)</f>
        <v>-31.638746497631519</v>
      </c>
      <c r="AD47" s="43">
        <f>SUM(AD20:AD46)</f>
        <v>-33.223476547332787</v>
      </c>
      <c r="AE47" s="43">
        <f t="shared" ref="AE47:AS47" si="43">SUM(AE20:AE46)</f>
        <v>-32.223476547332787</v>
      </c>
      <c r="AF47" s="43">
        <f t="shared" si="43"/>
        <v>-29.223476547332787</v>
      </c>
      <c r="AG47" s="43">
        <f t="shared" si="43"/>
        <v>-22.223476547332787</v>
      </c>
      <c r="AH47" s="43">
        <f t="shared" si="43"/>
        <v>-18.223476547332787</v>
      </c>
      <c r="AI47" s="43">
        <f t="shared" si="43"/>
        <v>-17.223476547332787</v>
      </c>
      <c r="AJ47" s="43">
        <f t="shared" si="43"/>
        <v>-17.223476547332787</v>
      </c>
      <c r="AK47" s="43">
        <f>SUM(AK20:AK46)</f>
        <v>-12.223476547332789</v>
      </c>
      <c r="AL47" s="43">
        <f t="shared" si="43"/>
        <v>-11.223476547332789</v>
      </c>
      <c r="AM47" s="43">
        <f t="shared" si="43"/>
        <v>-9.2234765473327887</v>
      </c>
      <c r="AN47" s="43">
        <f t="shared" si="43"/>
        <v>-7.2234765473327887</v>
      </c>
      <c r="AO47" s="43">
        <f t="shared" si="43"/>
        <v>-6.2234765473327887</v>
      </c>
      <c r="AP47" s="43">
        <f t="shared" si="43"/>
        <v>-4.6971930153941504</v>
      </c>
      <c r="AQ47" s="43">
        <f t="shared" si="43"/>
        <v>-3.1502465485885751</v>
      </c>
      <c r="AR47" s="43">
        <f t="shared" si="43"/>
        <v>-1.5847300497012689</v>
      </c>
      <c r="AS47" s="43">
        <f t="shared" si="43"/>
        <v>0</v>
      </c>
      <c r="AU47" s="184"/>
    </row>
    <row r="49" spans="1:47" x14ac:dyDescent="0.2">
      <c r="A49" s="28" t="s">
        <v>188</v>
      </c>
    </row>
    <row r="50" spans="1:47" x14ac:dyDescent="0.2">
      <c r="A50" t="s">
        <v>189</v>
      </c>
      <c r="C50" s="22">
        <f>SUM($C$15:C15)</f>
        <v>-128.5</v>
      </c>
      <c r="D50" s="22">
        <f>SUM($C$15:D15)</f>
        <v>-205</v>
      </c>
      <c r="E50" s="22">
        <f>SUM($C$15:E15)</f>
        <v>-175</v>
      </c>
      <c r="F50" s="22">
        <f>SUM($C$15:F15)</f>
        <v>-21.5</v>
      </c>
      <c r="G50" s="22">
        <f>SUM($C$15:G15)</f>
        <v>249.5</v>
      </c>
      <c r="H50" s="22">
        <f>SUM($C$15:H15)</f>
        <v>493.5</v>
      </c>
      <c r="I50" s="22">
        <f>SUM($C$15:I15)</f>
        <v>512.5</v>
      </c>
      <c r="J50" s="22">
        <f>SUM($C$15:J15)</f>
        <v>518</v>
      </c>
      <c r="K50" s="22">
        <f>SUM($C$15:K15)</f>
        <v>521.51718499999993</v>
      </c>
      <c r="L50" s="22">
        <f>SUM($C$15:L15)</f>
        <v>522.138598</v>
      </c>
      <c r="M50" s="22">
        <f>SUM($C$15:M15)</f>
        <v>511.1101855</v>
      </c>
      <c r="N50" s="106">
        <f>SUM($C$15:N15)</f>
        <v>496.68200250000001</v>
      </c>
      <c r="O50" s="106">
        <f>SUM($C$15:O15)</f>
        <v>474.78676899999999</v>
      </c>
      <c r="P50" s="106">
        <f>SUM($C$15:P15)</f>
        <v>467.8452135</v>
      </c>
      <c r="Q50" s="106">
        <f>SUM($C$15:Q15)</f>
        <v>342.45254799999998</v>
      </c>
      <c r="R50" s="106">
        <f>SUM($C$15:R15)</f>
        <v>308.45254799999998</v>
      </c>
      <c r="S50" s="106">
        <f>SUM($C$15:S15)</f>
        <v>279.73762699999997</v>
      </c>
      <c r="T50" s="106">
        <f>SUM($C$15:T15)</f>
        <v>268.77113142857144</v>
      </c>
      <c r="U50" s="106">
        <f>SUM($C$15:U15)</f>
        <v>239.17760992857148</v>
      </c>
      <c r="V50" s="106">
        <f>SUM($C$15:V15)</f>
        <v>198.84797685714295</v>
      </c>
      <c r="W50" s="106">
        <f>SUM($C$15:W15)</f>
        <v>158.725951357143</v>
      </c>
      <c r="X50" s="106">
        <f>SUM($C$15:X15)</f>
        <v>116.12628685714299</v>
      </c>
      <c r="Y50" s="348">
        <f>SUM($C$15:Y15)</f>
        <v>90.745330507142967</v>
      </c>
      <c r="Z50" s="85">
        <f>SUM($C$15:Z15)</f>
        <v>67.393192468481814</v>
      </c>
      <c r="AA50" s="85">
        <f>SUM($C$15:AA15)</f>
        <v>43.724911526356507</v>
      </c>
      <c r="AB50" s="85">
        <f>SUM($C$15:AB15)</f>
        <v>19.772509093380719</v>
      </c>
      <c r="AC50" s="246">
        <f>SUM($C$15:AC15)</f>
        <v>-4.4738606670486938</v>
      </c>
    </row>
    <row r="51" spans="1:47" x14ac:dyDescent="0.2">
      <c r="A51" t="s">
        <v>190</v>
      </c>
      <c r="C51" s="38">
        <f>SUM($C$47:C47)</f>
        <v>-10</v>
      </c>
      <c r="D51" s="38">
        <f>SUM($C$47:D47)</f>
        <v>-26</v>
      </c>
      <c r="E51" s="38">
        <f>SUM($C$47:E47)</f>
        <v>-39</v>
      </c>
      <c r="F51" s="38">
        <f>SUM($C$47:F47)</f>
        <v>-40</v>
      </c>
      <c r="G51" s="38">
        <f>SUM($C$47:G47)</f>
        <v>-22</v>
      </c>
      <c r="H51" s="38">
        <f>SUM($C$47:H47)</f>
        <v>14</v>
      </c>
      <c r="I51" s="38">
        <f>SUM($C$47:I47)</f>
        <v>53</v>
      </c>
      <c r="J51" s="38">
        <f>SUM($C$47:J47)</f>
        <v>93</v>
      </c>
      <c r="K51" s="38">
        <f>SUM($C$47:K47)</f>
        <v>136</v>
      </c>
      <c r="L51" s="38">
        <f>SUM($C$47:L47)</f>
        <v>180</v>
      </c>
      <c r="M51" s="38">
        <f>SUM($C$47:M47)</f>
        <v>222</v>
      </c>
      <c r="N51" s="137">
        <f>SUM($C$47:N47)</f>
        <v>262</v>
      </c>
      <c r="O51" s="137">
        <f>SUM($C$47:O47)</f>
        <v>301</v>
      </c>
      <c r="P51" s="137">
        <f>SUM($C$47:P47)</f>
        <v>337</v>
      </c>
      <c r="Q51" s="137">
        <f>SUM($C$47:Q47)</f>
        <v>381</v>
      </c>
      <c r="R51" s="137">
        <f>SUM($C$47:R47)</f>
        <v>421</v>
      </c>
      <c r="S51" s="137">
        <f>SUM($C$47:S47)</f>
        <v>457</v>
      </c>
      <c r="T51" s="137">
        <f>SUM($C$47:T47)</f>
        <v>459</v>
      </c>
      <c r="U51" s="137">
        <f>SUM($C$47:U47)</f>
        <v>441</v>
      </c>
      <c r="V51" s="137">
        <f>SUM($C$47:V47)</f>
        <v>421</v>
      </c>
      <c r="W51" s="137">
        <f>SUM($C$47:W47)</f>
        <v>397</v>
      </c>
      <c r="X51" s="137">
        <f>SUM($C$47:X47)</f>
        <v>372</v>
      </c>
      <c r="Y51" s="355">
        <f>SUM($C$47:Y47)</f>
        <v>345</v>
      </c>
      <c r="Z51" s="92">
        <f>SUM($C$47:Z47)</f>
        <v>315</v>
      </c>
      <c r="AA51" s="92">
        <f>SUM($C$47:AA47)</f>
        <v>285.47371646806135</v>
      </c>
      <c r="AB51" s="92">
        <f>SUM($C$47:AB47)</f>
        <v>254.40048646931714</v>
      </c>
      <c r="AC51" s="254">
        <f>SUM($C$47:AC47)</f>
        <v>222.76173997168561</v>
      </c>
    </row>
    <row r="52" spans="1:47" s="18" customFormat="1" ht="15.75" x14ac:dyDescent="0.25">
      <c r="A52" s="18" t="s">
        <v>191</v>
      </c>
      <c r="C52" s="43">
        <f>C50-C51</f>
        <v>-118.5</v>
      </c>
      <c r="D52" s="43">
        <f t="shared" ref="D52:N52" si="44">D50-D51</f>
        <v>-179</v>
      </c>
      <c r="E52" s="43">
        <f t="shared" si="44"/>
        <v>-136</v>
      </c>
      <c r="F52" s="43">
        <f t="shared" si="44"/>
        <v>18.5</v>
      </c>
      <c r="G52" s="43">
        <f t="shared" si="44"/>
        <v>271.5</v>
      </c>
      <c r="H52" s="43">
        <f t="shared" si="44"/>
        <v>479.5</v>
      </c>
      <c r="I52" s="43">
        <f t="shared" si="44"/>
        <v>459.5</v>
      </c>
      <c r="J52" s="43">
        <f t="shared" si="44"/>
        <v>425</v>
      </c>
      <c r="K52" s="43">
        <f t="shared" si="44"/>
        <v>385.51718499999993</v>
      </c>
      <c r="L52" s="43">
        <f t="shared" si="44"/>
        <v>342.138598</v>
      </c>
      <c r="M52" s="43">
        <f t="shared" si="44"/>
        <v>289.1101855</v>
      </c>
      <c r="N52" s="141">
        <f t="shared" si="44"/>
        <v>234.68200250000001</v>
      </c>
      <c r="O52" s="141">
        <f t="shared" ref="O52:V52" si="45">O50-O51</f>
        <v>173.78676899999999</v>
      </c>
      <c r="P52" s="141">
        <f t="shared" si="45"/>
        <v>130.8452135</v>
      </c>
      <c r="Q52" s="141">
        <f t="shared" si="45"/>
        <v>-38.547452000000021</v>
      </c>
      <c r="R52" s="141">
        <f t="shared" si="45"/>
        <v>-112.54745200000002</v>
      </c>
      <c r="S52" s="141">
        <f t="shared" si="45"/>
        <v>-177.26237300000003</v>
      </c>
      <c r="T52" s="141">
        <f t="shared" si="45"/>
        <v>-190.22886857142856</v>
      </c>
      <c r="U52" s="141">
        <f t="shared" si="45"/>
        <v>-201.82239007142852</v>
      </c>
      <c r="V52" s="141">
        <f t="shared" si="45"/>
        <v>-222.15202314285705</v>
      </c>
      <c r="W52" s="141">
        <f t="shared" ref="W52:AB52" si="46">W50-W51</f>
        <v>-238.274048642857</v>
      </c>
      <c r="X52" s="141">
        <f t="shared" si="46"/>
        <v>-255.87371314285701</v>
      </c>
      <c r="Y52" s="362">
        <f t="shared" si="46"/>
        <v>-254.25466949285703</v>
      </c>
      <c r="Z52" s="96">
        <f t="shared" si="46"/>
        <v>-247.6068075315182</v>
      </c>
      <c r="AA52" s="96">
        <f t="shared" si="46"/>
        <v>-241.74880494170486</v>
      </c>
      <c r="AB52" s="96">
        <f t="shared" si="46"/>
        <v>-234.62797737593644</v>
      </c>
      <c r="AC52" s="263">
        <f t="shared" ref="AC52" si="47">AC50-AC51</f>
        <v>-227.2356006387343</v>
      </c>
      <c r="AU52" s="181"/>
    </row>
  </sheetData>
  <phoneticPr fontId="0" type="noConversion"/>
  <pageMargins left="0.5" right="0.5" top="1" bottom="1" header="0.5" footer="0.5"/>
  <pageSetup paperSize="5" scale="52" orientation="landscape" r:id="rId1"/>
  <headerFooter alignWithMargins="0">
    <oddFooter>&amp;L&amp;"Arial,Bold"&amp;F&amp;C&amp;A&amp;R&amp;D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pane xSplit="1" ySplit="5" topLeftCell="M6" activePane="bottomRight" state="frozen"/>
      <selection activeCell="A41" sqref="A41"/>
      <selection pane="topRight" activeCell="A41" sqref="A41"/>
      <selection pane="bottomLeft" activeCell="A41" sqref="A41"/>
      <selection pane="bottomRight" activeCell="U17" sqref="U17"/>
    </sheetView>
  </sheetViews>
  <sheetFormatPr baseColWidth="10" defaultColWidth="9.140625" defaultRowHeight="12.75" x14ac:dyDescent="0.2"/>
  <cols>
    <col min="1" max="1" width="29.42578125" customWidth="1"/>
    <col min="2" max="2" width="14.85546875" customWidth="1"/>
    <col min="5" max="5" width="9.85546875" bestFit="1" customWidth="1"/>
  </cols>
  <sheetData>
    <row r="1" spans="1:19" ht="15.75" x14ac:dyDescent="0.25">
      <c r="A1" s="18" t="s">
        <v>67</v>
      </c>
    </row>
    <row r="2" spans="1:19" x14ac:dyDescent="0.2">
      <c r="A2" s="2" t="s">
        <v>152</v>
      </c>
    </row>
    <row r="3" spans="1:19" x14ac:dyDescent="0.2">
      <c r="A3" s="2" t="s">
        <v>153</v>
      </c>
    </row>
    <row r="5" spans="1:19" s="12" customFormat="1" ht="13.5" thickBot="1" x14ac:dyDescent="0.25">
      <c r="A5" s="46" t="s">
        <v>156</v>
      </c>
      <c r="B5" s="47" t="s">
        <v>26</v>
      </c>
      <c r="C5" s="47" t="s">
        <v>193</v>
      </c>
      <c r="D5" s="47" t="s">
        <v>34</v>
      </c>
      <c r="E5" s="47" t="s">
        <v>35</v>
      </c>
      <c r="F5" s="47" t="s">
        <v>36</v>
      </c>
      <c r="G5" s="47" t="s">
        <v>37</v>
      </c>
      <c r="H5" s="47" t="s">
        <v>38</v>
      </c>
      <c r="I5" s="47" t="s">
        <v>39</v>
      </c>
      <c r="J5" s="47" t="s">
        <v>40</v>
      </c>
      <c r="K5" s="47" t="s">
        <v>41</v>
      </c>
      <c r="L5" s="47" t="s">
        <v>42</v>
      </c>
      <c r="M5" s="47" t="s">
        <v>43</v>
      </c>
      <c r="N5" s="47" t="s">
        <v>44</v>
      </c>
      <c r="O5" s="47" t="s">
        <v>45</v>
      </c>
      <c r="P5" s="47" t="s">
        <v>168</v>
      </c>
      <c r="Q5" s="47" t="s">
        <v>169</v>
      </c>
      <c r="R5" s="47" t="s">
        <v>170</v>
      </c>
      <c r="S5" s="47" t="s">
        <v>171</v>
      </c>
    </row>
    <row r="7" spans="1:19" s="3" customFormat="1" x14ac:dyDescent="0.2">
      <c r="A7" s="3" t="s">
        <v>232</v>
      </c>
      <c r="B7" s="3" t="s">
        <v>226</v>
      </c>
      <c r="E7" s="3">
        <f>liability!$E$43</f>
        <v>4875.0575000000008</v>
      </c>
    </row>
    <row r="8" spans="1:19" s="8" customFormat="1" x14ac:dyDescent="0.2">
      <c r="A8" s="8" t="s">
        <v>231</v>
      </c>
      <c r="B8" s="8" t="s">
        <v>31</v>
      </c>
      <c r="E8" s="8">
        <f>ROUND(E7*0.5,0)</f>
        <v>2438</v>
      </c>
    </row>
    <row r="9" spans="1:19" s="3" customFormat="1" x14ac:dyDescent="0.2">
      <c r="A9" s="3" t="s">
        <v>233</v>
      </c>
      <c r="B9" s="3" t="s">
        <v>157</v>
      </c>
      <c r="F9" s="3">
        <f>'Data Input'!$G$40</f>
        <v>14</v>
      </c>
    </row>
    <row r="10" spans="1:19" s="49" customFormat="1" ht="15.75" x14ac:dyDescent="0.25">
      <c r="A10" s="49" t="s">
        <v>234</v>
      </c>
      <c r="B10" s="9" t="s">
        <v>31</v>
      </c>
      <c r="F10" s="49">
        <f>ROUND(E8/F9,0)</f>
        <v>174</v>
      </c>
      <c r="G10" s="49">
        <f>+$F10</f>
        <v>174</v>
      </c>
      <c r="H10" s="49">
        <f t="shared" ref="H10:R10" si="0">+$F10</f>
        <v>174</v>
      </c>
      <c r="I10" s="49">
        <f t="shared" si="0"/>
        <v>174</v>
      </c>
      <c r="J10" s="49">
        <f t="shared" si="0"/>
        <v>174</v>
      </c>
      <c r="K10" s="49">
        <f t="shared" si="0"/>
        <v>174</v>
      </c>
      <c r="L10" s="49">
        <f t="shared" si="0"/>
        <v>174</v>
      </c>
      <c r="M10" s="49">
        <f t="shared" si="0"/>
        <v>174</v>
      </c>
      <c r="N10" s="49">
        <f t="shared" si="0"/>
        <v>174</v>
      </c>
      <c r="O10" s="49">
        <f t="shared" si="0"/>
        <v>174</v>
      </c>
      <c r="P10" s="49">
        <f t="shared" si="0"/>
        <v>174</v>
      </c>
      <c r="Q10" s="49">
        <f t="shared" si="0"/>
        <v>174</v>
      </c>
      <c r="R10" s="49">
        <f t="shared" si="0"/>
        <v>174</v>
      </c>
      <c r="S10" s="49">
        <f>+$F10+2</f>
        <v>176</v>
      </c>
    </row>
    <row r="11" spans="1:19" s="3" customFormat="1" x14ac:dyDescent="0.2">
      <c r="B11" s="9"/>
    </row>
    <row r="12" spans="1:19" s="49" customFormat="1" ht="15.75" x14ac:dyDescent="0.25">
      <c r="A12" s="49" t="s">
        <v>235</v>
      </c>
      <c r="B12" s="9" t="s">
        <v>31</v>
      </c>
      <c r="F12" s="49">
        <f>E8-F10</f>
        <v>2264</v>
      </c>
      <c r="G12" s="49">
        <f>+F12-G10</f>
        <v>2090</v>
      </c>
      <c r="H12" s="49">
        <f t="shared" ref="H12:S12" si="1">+G12-H10</f>
        <v>1916</v>
      </c>
      <c r="I12" s="49">
        <f t="shared" si="1"/>
        <v>1742</v>
      </c>
      <c r="J12" s="49">
        <f t="shared" si="1"/>
        <v>1568</v>
      </c>
      <c r="K12" s="49">
        <f t="shared" si="1"/>
        <v>1394</v>
      </c>
      <c r="L12" s="49">
        <f t="shared" si="1"/>
        <v>1220</v>
      </c>
      <c r="M12" s="49">
        <f t="shared" si="1"/>
        <v>1046</v>
      </c>
      <c r="N12" s="49">
        <f t="shared" si="1"/>
        <v>872</v>
      </c>
      <c r="O12" s="49">
        <f t="shared" si="1"/>
        <v>698</v>
      </c>
      <c r="P12" s="49">
        <f t="shared" si="1"/>
        <v>524</v>
      </c>
      <c r="Q12" s="49">
        <f t="shared" si="1"/>
        <v>350</v>
      </c>
      <c r="R12" s="49">
        <f t="shared" si="1"/>
        <v>176</v>
      </c>
      <c r="S12" s="49">
        <f t="shared" si="1"/>
        <v>0</v>
      </c>
    </row>
    <row r="13" spans="1:19" s="3" customFormat="1" x14ac:dyDescent="0.2"/>
    <row r="14" spans="1:19" s="3" customFormat="1" x14ac:dyDescent="0.2">
      <c r="A14" s="3" t="s">
        <v>356</v>
      </c>
    </row>
    <row r="15" spans="1:19" s="3" customFormat="1" x14ac:dyDescent="0.2"/>
    <row r="16" spans="1:19"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pane xSplit="1" ySplit="3" topLeftCell="P4" activePane="bottomRight" state="frozen"/>
      <selection activeCell="AF39" sqref="AF39"/>
      <selection pane="topRight" activeCell="AF39" sqref="AF39"/>
      <selection pane="bottomLeft" activeCell="AF39" sqref="AF39"/>
      <selection pane="bottomRight" activeCell="A46" sqref="A46"/>
    </sheetView>
  </sheetViews>
  <sheetFormatPr baseColWidth="10" defaultColWidth="9.140625" defaultRowHeight="12.75" outlineLevelCol="1" x14ac:dyDescent="0.2"/>
  <cols>
    <col min="1" max="1" width="51.140625" customWidth="1"/>
    <col min="2" max="2" width="20.28515625" customWidth="1"/>
    <col min="3" max="9" width="10.42578125" hidden="1" customWidth="1" outlineLevel="1"/>
    <col min="10" max="10" width="10.28515625" hidden="1" customWidth="1" outlineLevel="1"/>
    <col min="11" max="11" width="9.140625" hidden="1" customWidth="1" outlineLevel="1"/>
    <col min="12" max="15" width="9.140625" style="115" hidden="1" customWidth="1" outlineLevel="1"/>
    <col min="16" max="16" width="9.140625" style="115" collapsed="1"/>
    <col min="17" max="21" width="9.140625" style="115"/>
    <col min="22" max="22" width="9.140625" style="115" customWidth="1"/>
    <col min="23" max="23" width="9.140625" style="463" customWidth="1"/>
    <col min="24" max="26" width="9.140625" style="304" customWidth="1" outlineLevel="1"/>
    <col min="27" max="27" width="9.140625" style="323" customWidth="1" outlineLevel="1"/>
    <col min="28" max="28" width="5.28515625" customWidth="1"/>
    <col min="29" max="30" width="9.140625" customWidth="1"/>
  </cols>
  <sheetData>
    <row r="1" spans="1:29" ht="15.75" x14ac:dyDescent="0.25">
      <c r="A1" s="18" t="s">
        <v>256</v>
      </c>
      <c r="B1" s="2"/>
      <c r="V1" s="479"/>
      <c r="W1" s="473"/>
      <c r="X1" s="382"/>
      <c r="Y1" s="382"/>
      <c r="Z1" s="382"/>
      <c r="AA1" s="383"/>
    </row>
    <row r="2" spans="1:29" x14ac:dyDescent="0.2">
      <c r="A2" s="308" t="s">
        <v>406</v>
      </c>
      <c r="U2" s="338" t="s">
        <v>178</v>
      </c>
      <c r="V2" s="338" t="s">
        <v>294</v>
      </c>
      <c r="W2" s="460" t="s">
        <v>309</v>
      </c>
      <c r="X2" s="322" t="s">
        <v>315</v>
      </c>
      <c r="Y2" s="322" t="s">
        <v>316</v>
      </c>
      <c r="Z2" s="322" t="s">
        <v>317</v>
      </c>
      <c r="AA2" s="324" t="s">
        <v>318</v>
      </c>
    </row>
    <row r="3" spans="1:29" s="2" customFormat="1" ht="13.5" thickBot="1" x14ac:dyDescent="0.25">
      <c r="A3" s="19" t="s">
        <v>1</v>
      </c>
      <c r="B3" s="20" t="s">
        <v>26</v>
      </c>
      <c r="C3" s="20">
        <v>1995</v>
      </c>
      <c r="D3" s="20">
        <v>1996</v>
      </c>
      <c r="E3" s="20">
        <v>1997</v>
      </c>
      <c r="F3" s="20">
        <v>1998</v>
      </c>
      <c r="G3" s="20">
        <v>1999</v>
      </c>
      <c r="H3" s="20">
        <v>2000</v>
      </c>
      <c r="I3" s="20">
        <v>2001</v>
      </c>
      <c r="J3" s="20">
        <v>2002</v>
      </c>
      <c r="K3" s="20">
        <v>2003</v>
      </c>
      <c r="L3" s="116">
        <v>2004</v>
      </c>
      <c r="M3" s="116">
        <v>2005</v>
      </c>
      <c r="N3" s="116">
        <v>2006</v>
      </c>
      <c r="O3" s="116">
        <v>2007</v>
      </c>
      <c r="P3" s="116">
        <v>2008</v>
      </c>
      <c r="Q3" s="116">
        <v>2009</v>
      </c>
      <c r="R3" s="116">
        <v>2010</v>
      </c>
      <c r="S3" s="116">
        <v>2011</v>
      </c>
      <c r="T3" s="116">
        <v>2012</v>
      </c>
      <c r="U3" s="116">
        <v>2013</v>
      </c>
      <c r="V3" s="116">
        <v>2014</v>
      </c>
      <c r="W3" s="474">
        <v>2015</v>
      </c>
      <c r="X3" s="307">
        <v>2016</v>
      </c>
      <c r="Y3" s="307">
        <v>2017</v>
      </c>
      <c r="Z3" s="307">
        <v>2018</v>
      </c>
      <c r="AA3" s="325">
        <v>2019</v>
      </c>
    </row>
    <row r="5" spans="1:29" x14ac:dyDescent="0.2">
      <c r="A5" s="2" t="s">
        <v>0</v>
      </c>
      <c r="B5" s="2"/>
      <c r="S5" s="195"/>
      <c r="T5" s="195"/>
      <c r="U5" s="195"/>
      <c r="V5" s="303"/>
      <c r="W5" s="475"/>
      <c r="X5" s="318"/>
      <c r="Y5" s="318"/>
      <c r="Z5" s="318"/>
      <c r="AA5" s="326"/>
    </row>
    <row r="6" spans="1:29" s="1" customFormat="1" x14ac:dyDescent="0.2">
      <c r="A6" s="1" t="s">
        <v>292</v>
      </c>
      <c r="B6" s="1" t="s">
        <v>257</v>
      </c>
      <c r="C6" s="5"/>
      <c r="D6" s="5">
        <v>4.1250000000000002E-2</v>
      </c>
      <c r="E6" s="5">
        <v>3.875E-2</v>
      </c>
      <c r="F6" s="5">
        <v>3.6249999999999998E-2</v>
      </c>
      <c r="G6" s="5">
        <v>3.3750000000000002E-2</v>
      </c>
      <c r="H6" s="5">
        <v>3.125E-2</v>
      </c>
      <c r="I6" s="5">
        <v>3.15E-2</v>
      </c>
      <c r="J6" s="5">
        <v>2.9499999999999998E-2</v>
      </c>
      <c r="K6" s="5">
        <v>2.8500000000000001E-2</v>
      </c>
      <c r="L6" s="117">
        <v>2.6749999999999999E-2</v>
      </c>
      <c r="M6" s="117">
        <v>2.3E-2</v>
      </c>
      <c r="N6" s="117">
        <v>2.35E-2</v>
      </c>
      <c r="O6" s="117">
        <v>2.325E-2</v>
      </c>
      <c r="P6" s="220">
        <v>0.02</v>
      </c>
      <c r="Q6" s="220">
        <v>0.02</v>
      </c>
      <c r="R6" s="220">
        <v>2.3E-2</v>
      </c>
      <c r="S6" s="220">
        <v>2.0250000000000001E-2</v>
      </c>
      <c r="T6" s="220">
        <v>1.7000000000000001E-2</v>
      </c>
      <c r="U6" s="220">
        <f t="shared" ref="U6:V8" si="0">+T6</f>
        <v>1.7000000000000001E-2</v>
      </c>
      <c r="V6" s="317">
        <v>2.1000000000000001E-2</v>
      </c>
      <c r="W6" s="545">
        <v>1.6750000000000001E-2</v>
      </c>
      <c r="X6" s="546">
        <v>1.6250000000000001E-2</v>
      </c>
      <c r="Y6" s="546">
        <f t="shared" ref="Y6:AA8" si="1">+X6</f>
        <v>1.6250000000000001E-2</v>
      </c>
      <c r="Z6" s="546">
        <f t="shared" si="1"/>
        <v>1.6250000000000001E-2</v>
      </c>
      <c r="AA6" s="546">
        <f t="shared" si="1"/>
        <v>1.6250000000000001E-2</v>
      </c>
    </row>
    <row r="7" spans="1:29" s="1" customFormat="1" x14ac:dyDescent="0.2">
      <c r="A7" s="1" t="s">
        <v>2</v>
      </c>
      <c r="B7" s="1" t="s">
        <v>257</v>
      </c>
      <c r="C7" s="5"/>
      <c r="D7" s="5">
        <v>4.4999999999999998E-2</v>
      </c>
      <c r="E7" s="5">
        <v>0.04</v>
      </c>
      <c r="F7" s="5">
        <v>3.5000000000000003E-2</v>
      </c>
      <c r="G7" s="5">
        <v>3.2500000000000001E-2</v>
      </c>
      <c r="H7" s="5">
        <v>3.2000000000000001E-2</v>
      </c>
      <c r="I7" s="5">
        <v>2.9000000000000001E-2</v>
      </c>
      <c r="J7" s="5">
        <v>3.0499999999999999E-2</v>
      </c>
      <c r="K7" s="5">
        <v>3.3500000000000002E-2</v>
      </c>
      <c r="L7" s="117">
        <v>3.7499999999999999E-2</v>
      </c>
      <c r="M7" s="117">
        <v>3.5999999999999997E-2</v>
      </c>
      <c r="N7" s="117">
        <v>3.4000000000000002E-2</v>
      </c>
      <c r="O7" s="117">
        <v>3.2000000000000001E-2</v>
      </c>
      <c r="P7" s="220">
        <v>2.35E-2</v>
      </c>
      <c r="Q7" s="220">
        <v>3.5499999999999997E-2</v>
      </c>
      <c r="R7" s="220">
        <f>+Q7</f>
        <v>3.5499999999999997E-2</v>
      </c>
      <c r="S7" s="220">
        <v>3.4000000000000002E-2</v>
      </c>
      <c r="T7" s="317">
        <v>0.03</v>
      </c>
      <c r="U7" s="317">
        <f t="shared" si="0"/>
        <v>0.03</v>
      </c>
      <c r="V7" s="317">
        <f t="shared" si="0"/>
        <v>0.03</v>
      </c>
      <c r="W7" s="545">
        <v>2.7E-2</v>
      </c>
      <c r="X7" s="546">
        <v>2.5000000000000001E-2</v>
      </c>
      <c r="Y7" s="546">
        <f t="shared" si="1"/>
        <v>2.5000000000000001E-2</v>
      </c>
      <c r="Z7" s="546">
        <f t="shared" si="1"/>
        <v>2.5000000000000001E-2</v>
      </c>
      <c r="AA7" s="546">
        <f t="shared" si="1"/>
        <v>2.5000000000000001E-2</v>
      </c>
    </row>
    <row r="8" spans="1:29" s="1" customFormat="1" x14ac:dyDescent="0.2">
      <c r="A8" s="1" t="s">
        <v>3</v>
      </c>
      <c r="B8" s="1" t="s">
        <v>257</v>
      </c>
      <c r="C8" s="5"/>
      <c r="D8" s="5">
        <v>3.5000000000000003E-2</v>
      </c>
      <c r="E8" s="5">
        <v>0.03</v>
      </c>
      <c r="F8" s="5">
        <v>2.5000000000000001E-2</v>
      </c>
      <c r="G8" s="5">
        <v>2.2499999999999999E-2</v>
      </c>
      <c r="H8" s="5">
        <v>2.1999999999999999E-2</v>
      </c>
      <c r="I8" s="5">
        <v>1.9E-2</v>
      </c>
      <c r="J8" s="5">
        <v>2.0500000000000001E-2</v>
      </c>
      <c r="K8" s="5">
        <v>2.35E-2</v>
      </c>
      <c r="L8" s="117">
        <v>2.75E-2</v>
      </c>
      <c r="M8" s="117">
        <v>2.5999999999999999E-2</v>
      </c>
      <c r="N8" s="117">
        <v>2.4E-2</v>
      </c>
      <c r="O8" s="117">
        <v>2.1999999999999999E-2</v>
      </c>
      <c r="P8" s="220">
        <v>1.35E-2</v>
      </c>
      <c r="Q8" s="220">
        <v>2.5499999999999998E-2</v>
      </c>
      <c r="R8" s="220">
        <f>+Q8</f>
        <v>2.5499999999999998E-2</v>
      </c>
      <c r="S8" s="220">
        <v>2.4E-2</v>
      </c>
      <c r="T8" s="317">
        <v>0.02</v>
      </c>
      <c r="U8" s="317">
        <f t="shared" si="0"/>
        <v>0.02</v>
      </c>
      <c r="V8" s="317">
        <f t="shared" si="0"/>
        <v>0.02</v>
      </c>
      <c r="W8" s="545">
        <v>1.7000000000000001E-2</v>
      </c>
      <c r="X8" s="546">
        <v>1.4999999999999999E-2</v>
      </c>
      <c r="Y8" s="546">
        <f t="shared" si="1"/>
        <v>1.4999999999999999E-2</v>
      </c>
      <c r="Z8" s="546">
        <f t="shared" si="1"/>
        <v>1.4999999999999999E-2</v>
      </c>
      <c r="AA8" s="546">
        <f t="shared" si="1"/>
        <v>1.4999999999999999E-2</v>
      </c>
    </row>
    <row r="9" spans="1:29" x14ac:dyDescent="0.2">
      <c r="P9" s="195"/>
      <c r="Q9" s="195"/>
      <c r="S9" s="195"/>
      <c r="T9" s="195"/>
      <c r="U9" s="195"/>
      <c r="V9" s="195"/>
      <c r="W9" s="459"/>
      <c r="X9" s="305"/>
      <c r="Y9" s="305"/>
      <c r="Z9" s="305"/>
      <c r="AA9" s="327"/>
    </row>
    <row r="10" spans="1:29" x14ac:dyDescent="0.2">
      <c r="A10" s="2" t="s">
        <v>4</v>
      </c>
      <c r="B10" s="2"/>
      <c r="P10" s="195"/>
      <c r="Q10" s="195"/>
      <c r="S10" s="195"/>
      <c r="T10" s="195"/>
      <c r="U10" s="195"/>
      <c r="V10" s="195"/>
      <c r="W10" s="520"/>
      <c r="X10" s="541"/>
      <c r="Y10" s="541"/>
      <c r="Z10" s="541"/>
      <c r="AA10" s="542"/>
    </row>
    <row r="11" spans="1:29" s="3" customFormat="1" x14ac:dyDescent="0.2">
      <c r="A11" s="3" t="s">
        <v>11</v>
      </c>
      <c r="B11" s="1" t="s">
        <v>257</v>
      </c>
      <c r="C11" s="7">
        <v>380</v>
      </c>
      <c r="D11" s="7">
        <v>347</v>
      </c>
      <c r="E11" s="7">
        <v>273</v>
      </c>
      <c r="F11" s="7">
        <v>286</v>
      </c>
      <c r="G11" s="7">
        <v>239</v>
      </c>
      <c r="H11" s="7">
        <v>306</v>
      </c>
      <c r="I11" s="7">
        <v>361</v>
      </c>
      <c r="J11" s="7">
        <v>474.67</v>
      </c>
      <c r="K11" s="7">
        <v>157.977</v>
      </c>
      <c r="L11" s="118">
        <f>K11+SUM(L12:L18)</f>
        <v>188.56900000000002</v>
      </c>
      <c r="M11" s="118">
        <v>167.649</v>
      </c>
      <c r="N11" s="118">
        <v>207.655</v>
      </c>
      <c r="O11" s="118">
        <v>245.40100000000001</v>
      </c>
      <c r="P11" s="221">
        <v>227.29400000000001</v>
      </c>
      <c r="Q11" s="221">
        <v>295.99200000000002</v>
      </c>
      <c r="R11" s="221">
        <v>383.58199999999999</v>
      </c>
      <c r="S11" s="221">
        <v>391.83499999999998</v>
      </c>
      <c r="T11" s="221">
        <v>380.09500000000003</v>
      </c>
      <c r="U11" s="221">
        <v>344.35599999999999</v>
      </c>
      <c r="V11" s="221">
        <v>329.99400000000003</v>
      </c>
      <c r="W11" s="476">
        <v>309.17200000000003</v>
      </c>
      <c r="X11" s="306">
        <f t="shared" ref="X11:AA11" si="2">W11+SUM(X12:X18)</f>
        <v>310.16956500000003</v>
      </c>
      <c r="Y11" s="306">
        <f t="shared" si="2"/>
        <v>311.20723923125001</v>
      </c>
      <c r="Z11" s="306">
        <f t="shared" si="2"/>
        <v>312.28814035075783</v>
      </c>
      <c r="AA11" s="328">
        <f t="shared" si="2"/>
        <v>313.41552635068763</v>
      </c>
    </row>
    <row r="12" spans="1:29" s="3" customFormat="1" x14ac:dyDescent="0.2">
      <c r="A12" s="3" t="s">
        <v>5</v>
      </c>
      <c r="B12" s="1" t="s">
        <v>257</v>
      </c>
      <c r="C12" s="7"/>
      <c r="D12" s="7">
        <v>17</v>
      </c>
      <c r="E12" s="7">
        <v>15</v>
      </c>
      <c r="F12" s="7">
        <v>11</v>
      </c>
      <c r="G12" s="7">
        <v>10</v>
      </c>
      <c r="H12" s="7">
        <v>8</v>
      </c>
      <c r="I12" s="7">
        <v>10</v>
      </c>
      <c r="J12" s="7">
        <v>11.702999999999999</v>
      </c>
      <c r="K12" s="7">
        <v>14.253</v>
      </c>
      <c r="L12" s="118">
        <v>4.6189999999999998</v>
      </c>
      <c r="M12" s="118">
        <v>5.1639999999999997</v>
      </c>
      <c r="N12" s="118">
        <v>3.9079999999999999</v>
      </c>
      <c r="O12" s="118">
        <v>4.9509999999999996</v>
      </c>
      <c r="P12" s="221">
        <v>5.7779999999999996</v>
      </c>
      <c r="Q12" s="221">
        <v>4.601</v>
      </c>
      <c r="R12" s="221">
        <v>6.899</v>
      </c>
      <c r="S12" s="221">
        <v>7.86</v>
      </c>
      <c r="T12" s="221">
        <v>6.7409999999999997</v>
      </c>
      <c r="U12" s="221">
        <v>6.52</v>
      </c>
      <c r="V12" s="221">
        <v>6.016</v>
      </c>
      <c r="W12" s="476">
        <v>5.5140000000000002</v>
      </c>
      <c r="X12" s="306">
        <f t="shared" ref="X12:AA12" si="3">W11*X6</f>
        <v>5.024045000000001</v>
      </c>
      <c r="Y12" s="306">
        <f t="shared" si="3"/>
        <v>5.0402554312500003</v>
      </c>
      <c r="Z12" s="306">
        <f t="shared" si="3"/>
        <v>5.0571176375078126</v>
      </c>
      <c r="AA12" s="328">
        <f t="shared" si="3"/>
        <v>5.0746822806998146</v>
      </c>
    </row>
    <row r="13" spans="1:29" s="3" customFormat="1" x14ac:dyDescent="0.2">
      <c r="A13" s="3" t="s">
        <v>50</v>
      </c>
      <c r="B13" s="1" t="s">
        <v>257</v>
      </c>
      <c r="C13" s="7"/>
      <c r="D13" s="7">
        <v>31</v>
      </c>
      <c r="E13" s="7">
        <v>21</v>
      </c>
      <c r="F13" s="7">
        <v>25</v>
      </c>
      <c r="G13" s="7">
        <v>22</v>
      </c>
      <c r="H13" s="7">
        <v>18</v>
      </c>
      <c r="I13" s="7">
        <v>32</v>
      </c>
      <c r="J13" s="7">
        <v>32.648000000000003</v>
      </c>
      <c r="K13" s="7">
        <v>9.0760000000000005</v>
      </c>
      <c r="L13" s="118">
        <v>10.337</v>
      </c>
      <c r="M13" s="118">
        <v>11.595000000000001</v>
      </c>
      <c r="N13" s="118">
        <v>7.33</v>
      </c>
      <c r="O13" s="118">
        <v>9.3049999999999997</v>
      </c>
      <c r="P13" s="221">
        <v>10.839</v>
      </c>
      <c r="Q13" s="221">
        <v>9.9450000000000003</v>
      </c>
      <c r="R13" s="221">
        <v>12.819000000000001</v>
      </c>
      <c r="S13" s="221">
        <v>15.012</v>
      </c>
      <c r="T13" s="221">
        <v>14.574999999999999</v>
      </c>
      <c r="U13" s="221">
        <v>13.451000000000001</v>
      </c>
      <c r="V13" s="221">
        <v>6.5359999999999996</v>
      </c>
      <c r="W13" s="476">
        <v>8.2240000000000002</v>
      </c>
      <c r="X13" s="306">
        <f t="shared" ref="X13:AA13" si="4">W13*(1+X7)</f>
        <v>8.4295999999999989</v>
      </c>
      <c r="Y13" s="306">
        <f t="shared" si="4"/>
        <v>8.6403399999999984</v>
      </c>
      <c r="Z13" s="306">
        <f t="shared" si="4"/>
        <v>8.8563484999999975</v>
      </c>
      <c r="AA13" s="328">
        <f t="shared" si="4"/>
        <v>9.0777572124999963</v>
      </c>
    </row>
    <row r="14" spans="1:29" s="3" customFormat="1" x14ac:dyDescent="0.2">
      <c r="A14" s="3" t="s">
        <v>207</v>
      </c>
      <c r="B14" s="1" t="s">
        <v>257</v>
      </c>
      <c r="C14" s="7"/>
      <c r="D14" s="7"/>
      <c r="E14" s="7"/>
      <c r="F14" s="7"/>
      <c r="G14" s="7"/>
      <c r="H14" s="7"/>
      <c r="I14" s="7">
        <v>39</v>
      </c>
      <c r="J14" s="7"/>
      <c r="K14" s="7"/>
      <c r="L14" s="118"/>
      <c r="M14" s="118"/>
      <c r="N14" s="118"/>
      <c r="O14" s="118"/>
      <c r="P14" s="221"/>
      <c r="Q14" s="221"/>
      <c r="R14" s="233"/>
      <c r="S14" s="221"/>
      <c r="T14" s="221"/>
      <c r="U14" s="221"/>
      <c r="V14" s="221"/>
      <c r="W14" s="476"/>
      <c r="X14" s="306"/>
      <c r="Y14" s="306"/>
      <c r="Z14" s="306"/>
      <c r="AA14" s="328"/>
    </row>
    <row r="15" spans="1:29" s="3" customFormat="1" x14ac:dyDescent="0.2">
      <c r="A15" s="3" t="s">
        <v>208</v>
      </c>
      <c r="B15" s="1" t="s">
        <v>257</v>
      </c>
      <c r="C15" s="7"/>
      <c r="D15" s="7"/>
      <c r="E15" s="7"/>
      <c r="F15" s="7">
        <v>71</v>
      </c>
      <c r="G15" s="7"/>
      <c r="H15" s="7"/>
      <c r="I15" s="7"/>
      <c r="J15" s="7"/>
      <c r="K15" s="7"/>
      <c r="L15" s="118"/>
      <c r="M15" s="118"/>
      <c r="N15" s="118"/>
      <c r="O15" s="118"/>
      <c r="P15" s="221"/>
      <c r="Q15" s="221"/>
      <c r="R15" s="233"/>
      <c r="S15" s="221"/>
      <c r="T15" s="221"/>
      <c r="U15" s="221"/>
      <c r="V15" s="221"/>
      <c r="W15" s="476"/>
      <c r="X15" s="306"/>
      <c r="Y15" s="306"/>
      <c r="Z15" s="306"/>
      <c r="AA15" s="328"/>
      <c r="AC15" s="296"/>
    </row>
    <row r="16" spans="1:29" s="3" customFormat="1" x14ac:dyDescent="0.2">
      <c r="A16" s="3" t="s">
        <v>9</v>
      </c>
      <c r="B16" s="1" t="s">
        <v>257</v>
      </c>
      <c r="C16" s="7"/>
      <c r="D16" s="7"/>
      <c r="E16" s="7"/>
      <c r="F16" s="7"/>
      <c r="G16" s="7"/>
      <c r="H16" s="7"/>
      <c r="I16" s="7">
        <v>-1</v>
      </c>
      <c r="J16" s="7">
        <v>-1.238</v>
      </c>
      <c r="K16" s="7">
        <v>-1.7290000000000001</v>
      </c>
      <c r="L16" s="118">
        <v>-2.056</v>
      </c>
      <c r="M16" s="118">
        <v>-2.5750000000000002</v>
      </c>
      <c r="N16" s="118">
        <v>-2.8</v>
      </c>
      <c r="O16" s="118">
        <v>-3.2210000000000001</v>
      </c>
      <c r="P16" s="221">
        <v>-3.7120000000000002</v>
      </c>
      <c r="Q16" s="221">
        <v>-4.4249999999999998</v>
      </c>
      <c r="R16" s="221">
        <v>-4.8099999999999996</v>
      </c>
      <c r="S16" s="221">
        <v>-5.9169999999999998</v>
      </c>
      <c r="T16" s="221">
        <v>-6.06</v>
      </c>
      <c r="U16" s="221">
        <v>-6.5910000000000002</v>
      </c>
      <c r="V16" s="221">
        <v>-9.0350000000000001</v>
      </c>
      <c r="W16" s="476">
        <v>-12.272</v>
      </c>
      <c r="X16" s="306">
        <f t="shared" ref="X16:AA16" si="5">W16*(1+X8)</f>
        <v>-12.456079999999998</v>
      </c>
      <c r="Y16" s="306">
        <f t="shared" si="5"/>
        <v>-12.642921199999996</v>
      </c>
      <c r="Z16" s="306">
        <f t="shared" si="5"/>
        <v>-12.832565017999995</v>
      </c>
      <c r="AA16" s="328">
        <f t="shared" si="5"/>
        <v>-13.025053493269994</v>
      </c>
    </row>
    <row r="17" spans="1:27" s="3" customFormat="1" x14ac:dyDescent="0.2">
      <c r="A17" s="3" t="s">
        <v>6</v>
      </c>
      <c r="B17" s="1" t="s">
        <v>257</v>
      </c>
      <c r="C17" s="7"/>
      <c r="D17" s="7">
        <v>-61</v>
      </c>
      <c r="E17" s="7">
        <v>-108</v>
      </c>
      <c r="F17" s="7">
        <v>-74</v>
      </c>
      <c r="G17" s="7">
        <v>-100</v>
      </c>
      <c r="H17" s="7">
        <v>31</v>
      </c>
      <c r="I17" s="7">
        <v>-44</v>
      </c>
      <c r="J17" s="7">
        <v>25.167000000000002</v>
      </c>
      <c r="K17" s="7">
        <v>3.7749999999999999</v>
      </c>
      <c r="L17" s="118">
        <v>-5.92</v>
      </c>
      <c r="M17" s="118">
        <v>4.5030000000000001</v>
      </c>
      <c r="N17" s="118">
        <v>31.687999999999999</v>
      </c>
      <c r="O17" s="118">
        <v>21.056000000000001</v>
      </c>
      <c r="P17" s="221">
        <v>-16.713999999999999</v>
      </c>
      <c r="Q17" s="221">
        <v>32.131</v>
      </c>
      <c r="R17" s="221">
        <v>35.783999999999999</v>
      </c>
      <c r="S17" s="221">
        <v>-12.231</v>
      </c>
      <c r="T17" s="221">
        <v>53.651000000000003</v>
      </c>
      <c r="U17" s="221">
        <v>-14.474</v>
      </c>
      <c r="V17" s="221">
        <f>21.55+1.529</f>
        <v>23.079000000000001</v>
      </c>
      <c r="W17" s="476">
        <f>1.208-2.294</f>
        <v>-1.0860000000000001</v>
      </c>
      <c r="X17" s="306"/>
      <c r="Y17" s="306"/>
      <c r="Z17" s="306"/>
      <c r="AA17" s="328"/>
    </row>
    <row r="18" spans="1:27" s="3" customFormat="1" x14ac:dyDescent="0.2">
      <c r="A18" s="3" t="s">
        <v>7</v>
      </c>
      <c r="B18" s="1" t="s">
        <v>257</v>
      </c>
      <c r="C18" s="7"/>
      <c r="D18" s="7">
        <v>-21</v>
      </c>
      <c r="E18" s="7">
        <v>-1</v>
      </c>
      <c r="F18" s="7">
        <v>-20</v>
      </c>
      <c r="G18" s="7">
        <v>21</v>
      </c>
      <c r="H18" s="7">
        <v>10</v>
      </c>
      <c r="I18" s="7">
        <v>19</v>
      </c>
      <c r="J18" s="7">
        <v>44.91</v>
      </c>
      <c r="K18" s="7">
        <v>-342.06799999999998</v>
      </c>
      <c r="L18" s="118">
        <v>23.611999999999998</v>
      </c>
      <c r="M18" s="118">
        <f>-39.607</f>
        <v>-39.606999999999999</v>
      </c>
      <c r="N18" s="118">
        <v>0.12</v>
      </c>
      <c r="O18" s="118">
        <v>5.6550000000000002</v>
      </c>
      <c r="P18" s="221">
        <v>-14.308</v>
      </c>
      <c r="Q18" s="221">
        <v>26.446000000000002</v>
      </c>
      <c r="R18" s="221">
        <v>36.898000000000003</v>
      </c>
      <c r="S18" s="221">
        <v>3.5289999999999999</v>
      </c>
      <c r="T18" s="221">
        <v>-80.647000000000006</v>
      </c>
      <c r="U18" s="221">
        <v>-34.645000000000003</v>
      </c>
      <c r="V18" s="221">
        <v>-40.957999999999998</v>
      </c>
      <c r="W18" s="476">
        <v>-21.202000000000002</v>
      </c>
      <c r="X18" s="306"/>
      <c r="Y18" s="306"/>
      <c r="Z18" s="306"/>
      <c r="AA18" s="328"/>
    </row>
    <row r="19" spans="1:27" s="8" customFormat="1" x14ac:dyDescent="0.2">
      <c r="A19" s="8" t="s">
        <v>10</v>
      </c>
      <c r="B19" s="8" t="s">
        <v>31</v>
      </c>
      <c r="C19" s="8">
        <f t="shared" ref="C19:K19" si="6">SUM(C12:C18)</f>
        <v>0</v>
      </c>
      <c r="D19" s="8">
        <f t="shared" si="6"/>
        <v>-34</v>
      </c>
      <c r="E19" s="8">
        <f t="shared" si="6"/>
        <v>-73</v>
      </c>
      <c r="F19" s="8">
        <f t="shared" si="6"/>
        <v>13</v>
      </c>
      <c r="G19" s="8">
        <f t="shared" si="6"/>
        <v>-47</v>
      </c>
      <c r="H19" s="8">
        <f t="shared" si="6"/>
        <v>67</v>
      </c>
      <c r="I19" s="8">
        <f t="shared" si="6"/>
        <v>55</v>
      </c>
      <c r="J19" s="8">
        <f t="shared" si="6"/>
        <v>113.19</v>
      </c>
      <c r="K19" s="8">
        <f t="shared" si="6"/>
        <v>-316.69299999999998</v>
      </c>
      <c r="L19" s="119">
        <f t="shared" ref="L19:Y19" si="7">SUM(L12:L18)</f>
        <v>30.591999999999999</v>
      </c>
      <c r="M19" s="119">
        <f t="shared" si="7"/>
        <v>-20.919999999999998</v>
      </c>
      <c r="N19" s="119">
        <f t="shared" si="7"/>
        <v>40.245999999999995</v>
      </c>
      <c r="O19" s="119">
        <f t="shared" si="7"/>
        <v>37.746000000000002</v>
      </c>
      <c r="P19" s="200">
        <f t="shared" si="7"/>
        <v>-18.116999999999997</v>
      </c>
      <c r="Q19" s="200">
        <f t="shared" si="7"/>
        <v>68.697999999999993</v>
      </c>
      <c r="R19" s="200">
        <f t="shared" si="7"/>
        <v>87.59</v>
      </c>
      <c r="S19" s="200">
        <f t="shared" si="7"/>
        <v>8.2529999999999983</v>
      </c>
      <c r="T19" s="200">
        <f t="shared" si="7"/>
        <v>-11.739999999999995</v>
      </c>
      <c r="U19" s="200">
        <f t="shared" si="7"/>
        <v>-35.739000000000004</v>
      </c>
      <c r="V19" s="200">
        <f t="shared" si="7"/>
        <v>-14.361999999999998</v>
      </c>
      <c r="W19" s="477">
        <f t="shared" si="7"/>
        <v>-20.822000000000003</v>
      </c>
      <c r="X19" s="319">
        <f t="shared" si="7"/>
        <v>0.99756500000000159</v>
      </c>
      <c r="Y19" s="319">
        <f t="shared" si="7"/>
        <v>1.0376742312500014</v>
      </c>
      <c r="Z19" s="319">
        <f>SUM(Z12:Z18)</f>
        <v>1.080901119507816</v>
      </c>
      <c r="AA19" s="329">
        <f>SUM(AA12:AA18)</f>
        <v>1.1273859999298175</v>
      </c>
    </row>
    <row r="20" spans="1:27" s="8" customFormat="1" x14ac:dyDescent="0.2">
      <c r="A20" s="8" t="s">
        <v>8</v>
      </c>
      <c r="B20" s="8" t="s">
        <v>31</v>
      </c>
      <c r="D20" s="8">
        <f t="shared" ref="D20:K20" si="8">D11-C11-D19</f>
        <v>1</v>
      </c>
      <c r="E20" s="8">
        <f t="shared" si="8"/>
        <v>-1</v>
      </c>
      <c r="F20" s="8">
        <f t="shared" si="8"/>
        <v>0</v>
      </c>
      <c r="G20" s="8">
        <f t="shared" si="8"/>
        <v>0</v>
      </c>
      <c r="H20" s="8">
        <f t="shared" si="8"/>
        <v>0</v>
      </c>
      <c r="I20" s="8">
        <f t="shared" si="8"/>
        <v>0</v>
      </c>
      <c r="J20" s="8">
        <f t="shared" si="8"/>
        <v>0.48000000000001819</v>
      </c>
      <c r="K20" s="8">
        <f t="shared" si="8"/>
        <v>0</v>
      </c>
      <c r="L20" s="119">
        <f t="shared" ref="L20:AA20" si="9">L11-K11-L19</f>
        <v>0</v>
      </c>
      <c r="M20" s="119">
        <f t="shared" si="9"/>
        <v>0</v>
      </c>
      <c r="N20" s="119">
        <f t="shared" si="9"/>
        <v>-0.23999999999999488</v>
      </c>
      <c r="O20" s="119">
        <f t="shared" si="9"/>
        <v>0</v>
      </c>
      <c r="P20" s="200">
        <f t="shared" si="9"/>
        <v>9.9999999999980105E-3</v>
      </c>
      <c r="Q20" s="200">
        <f t="shared" si="9"/>
        <v>0</v>
      </c>
      <c r="R20" s="119">
        <f t="shared" si="9"/>
        <v>0</v>
      </c>
      <c r="S20" s="200">
        <f t="shared" si="9"/>
        <v>0</v>
      </c>
      <c r="T20" s="200">
        <f t="shared" si="9"/>
        <v>4.2632564145606011E-14</v>
      </c>
      <c r="U20" s="200">
        <f t="shared" si="9"/>
        <v>0</v>
      </c>
      <c r="V20" s="200">
        <f t="shared" si="9"/>
        <v>3.1974423109204508E-14</v>
      </c>
      <c r="W20" s="523">
        <f t="shared" si="9"/>
        <v>0</v>
      </c>
      <c r="X20" s="319">
        <f t="shared" si="9"/>
        <v>7.1054273576010019E-15</v>
      </c>
      <c r="Y20" s="319">
        <f t="shared" si="9"/>
        <v>-2.1316282072803006E-14</v>
      </c>
      <c r="Z20" s="319">
        <f t="shared" si="9"/>
        <v>-1.7763568394002505E-15</v>
      </c>
      <c r="AA20" s="329">
        <f t="shared" si="9"/>
        <v>-1.7763568394002505E-14</v>
      </c>
    </row>
    <row r="21" spans="1:27" x14ac:dyDescent="0.2">
      <c r="P21" s="222"/>
      <c r="Q21" s="222"/>
      <c r="S21" s="201"/>
      <c r="T21" s="201"/>
      <c r="U21" s="201"/>
      <c r="V21" s="201"/>
      <c r="W21" s="520"/>
      <c r="X21" s="305"/>
      <c r="Y21" s="305"/>
      <c r="Z21" s="305"/>
      <c r="AA21" s="327"/>
    </row>
    <row r="22" spans="1:27" x14ac:dyDescent="0.2">
      <c r="A22" s="2" t="s">
        <v>13</v>
      </c>
      <c r="B22" s="2"/>
      <c r="P22" s="222"/>
      <c r="Q22" s="222"/>
      <c r="S22" s="201"/>
      <c r="T22" s="201"/>
      <c r="U22" s="201"/>
      <c r="V22" s="201"/>
      <c r="W22" s="520"/>
      <c r="X22" s="305"/>
      <c r="Y22" s="305"/>
      <c r="Z22" s="305"/>
      <c r="AA22" s="327"/>
    </row>
    <row r="23" spans="1:27" s="9" customFormat="1" x14ac:dyDescent="0.2">
      <c r="A23" s="9" t="s">
        <v>22</v>
      </c>
      <c r="B23" s="58" t="s">
        <v>257</v>
      </c>
      <c r="C23" s="10">
        <v>0</v>
      </c>
      <c r="D23" s="10">
        <v>1</v>
      </c>
      <c r="E23" s="10">
        <v>1</v>
      </c>
      <c r="F23" s="10">
        <v>1</v>
      </c>
      <c r="G23" s="10">
        <v>1</v>
      </c>
      <c r="H23" s="10">
        <v>2</v>
      </c>
      <c r="I23" s="10">
        <v>2</v>
      </c>
      <c r="J23" s="10">
        <v>2.149</v>
      </c>
      <c r="K23" s="10">
        <v>5.2229999999999999</v>
      </c>
      <c r="L23" s="120">
        <v>7.9279999999999999</v>
      </c>
      <c r="M23" s="120">
        <v>9.5860000000000003</v>
      </c>
      <c r="N23" s="120">
        <v>10.486000000000001</v>
      </c>
      <c r="O23" s="120">
        <v>10.577</v>
      </c>
      <c r="P23" s="202">
        <v>13.72</v>
      </c>
      <c r="Q23" s="202">
        <v>13.725</v>
      </c>
      <c r="R23" s="120">
        <v>15.369</v>
      </c>
      <c r="S23" s="202">
        <v>15.557</v>
      </c>
      <c r="T23" s="202">
        <v>17.167999999999999</v>
      </c>
      <c r="U23" s="120">
        <v>24.364999999999998</v>
      </c>
      <c r="V23" s="120">
        <v>26.102</v>
      </c>
      <c r="W23" s="476">
        <v>25.126000000000001</v>
      </c>
      <c r="X23" s="306">
        <f t="shared" ref="X23:AA23" si="10">W23*(1+X6)+X29+X16</f>
        <v>24.610492500000007</v>
      </c>
      <c r="Y23" s="306">
        <f t="shared" si="10"/>
        <v>24.188073678125015</v>
      </c>
      <c r="Z23" s="306">
        <f t="shared" si="10"/>
        <v>23.864661279269548</v>
      </c>
      <c r="AA23" s="328">
        <f t="shared" si="10"/>
        <v>23.646407364209558</v>
      </c>
    </row>
    <row r="24" spans="1:27" x14ac:dyDescent="0.2">
      <c r="P24" s="222"/>
      <c r="Q24" s="222"/>
      <c r="S24" s="201"/>
      <c r="T24" s="201"/>
      <c r="U24" s="303"/>
      <c r="V24" s="303"/>
      <c r="W24" s="520"/>
      <c r="X24" s="305"/>
      <c r="Y24" s="305"/>
      <c r="Z24" s="305"/>
      <c r="AA24" s="327"/>
    </row>
    <row r="25" spans="1:27" x14ac:dyDescent="0.2">
      <c r="A25" s="2" t="s">
        <v>23</v>
      </c>
      <c r="B25" s="2"/>
      <c r="P25" s="222"/>
      <c r="Q25" s="222"/>
      <c r="S25" s="201"/>
      <c r="T25" s="201"/>
      <c r="U25" s="303"/>
      <c r="V25" s="303"/>
      <c r="W25" s="520"/>
      <c r="X25" s="305"/>
      <c r="Y25" s="305"/>
      <c r="Z25" s="305"/>
      <c r="AA25" s="327"/>
    </row>
    <row r="26" spans="1:27" s="3" customFormat="1" x14ac:dyDescent="0.2">
      <c r="A26" s="3" t="s">
        <v>16</v>
      </c>
      <c r="B26" s="1" t="s">
        <v>257</v>
      </c>
      <c r="C26" s="7"/>
      <c r="D26" s="7"/>
      <c r="E26" s="7"/>
      <c r="F26" s="7"/>
      <c r="G26" s="7"/>
      <c r="H26" s="7">
        <v>0.6</v>
      </c>
      <c r="I26" s="7">
        <v>0.7</v>
      </c>
      <c r="J26" s="7">
        <v>0.76800000000000002</v>
      </c>
      <c r="K26" s="7">
        <v>2.4340000000000002</v>
      </c>
      <c r="L26" s="118">
        <v>2.4009999999999998</v>
      </c>
      <c r="M26" s="118">
        <v>2.1230000000000002</v>
      </c>
      <c r="N26" s="118">
        <v>1.8260000000000001</v>
      </c>
      <c r="O26" s="118">
        <v>1.4270229999999999</v>
      </c>
      <c r="P26" s="202">
        <v>3.3940109999999999</v>
      </c>
      <c r="Q26" s="202">
        <v>2.2229999999999999</v>
      </c>
      <c r="R26" s="118">
        <v>3.2330000000000001</v>
      </c>
      <c r="S26" s="202">
        <v>3.0710000000000002</v>
      </c>
      <c r="T26" s="202">
        <v>3.847</v>
      </c>
      <c r="U26" s="120">
        <v>6.9029999999999996</v>
      </c>
      <c r="V26" s="120">
        <v>5.4210000000000003</v>
      </c>
      <c r="W26" s="476">
        <v>5.59</v>
      </c>
      <c r="X26" s="306">
        <f t="shared" ref="X26:AA26" si="11">W26*(1+X$7)</f>
        <v>5.7297499999999992</v>
      </c>
      <c r="Y26" s="306">
        <f t="shared" si="11"/>
        <v>5.8729937499999991</v>
      </c>
      <c r="Z26" s="306">
        <f t="shared" si="11"/>
        <v>6.0198185937499984</v>
      </c>
      <c r="AA26" s="328">
        <f t="shared" si="11"/>
        <v>6.1703140585937479</v>
      </c>
    </row>
    <row r="27" spans="1:27" s="3" customFormat="1" x14ac:dyDescent="0.2">
      <c r="A27" s="3" t="s">
        <v>17</v>
      </c>
      <c r="B27" s="1" t="s">
        <v>257</v>
      </c>
      <c r="C27" s="7"/>
      <c r="D27" s="7"/>
      <c r="E27" s="7"/>
      <c r="F27" s="7"/>
      <c r="G27" s="7"/>
      <c r="H27" s="7">
        <v>0.2</v>
      </c>
      <c r="I27" s="7">
        <v>0.4</v>
      </c>
      <c r="J27" s="7">
        <v>0.14199999999999999</v>
      </c>
      <c r="K27" s="7">
        <v>0.53</v>
      </c>
      <c r="L27" s="118">
        <v>0.54300000000000004</v>
      </c>
      <c r="M27" s="118">
        <v>1.4470000000000001</v>
      </c>
      <c r="N27" s="118">
        <v>0.432</v>
      </c>
      <c r="O27" s="118">
        <v>0.75523700000000005</v>
      </c>
      <c r="P27" s="202">
        <v>0.88747699999999996</v>
      </c>
      <c r="Q27" s="202">
        <v>0.73899999999999999</v>
      </c>
      <c r="R27" s="118">
        <v>2.2240000000000002</v>
      </c>
      <c r="S27" s="202">
        <v>2.1859999999999999</v>
      </c>
      <c r="T27" s="202">
        <v>1.18</v>
      </c>
      <c r="U27" s="120">
        <v>1.5840000000000001</v>
      </c>
      <c r="V27" s="120">
        <v>0.79600000000000004</v>
      </c>
      <c r="W27" s="476">
        <v>2.3519999999999999</v>
      </c>
      <c r="X27" s="306">
        <f t="shared" ref="X27:X28" si="12">W27*(1+X$7)</f>
        <v>2.4107999999999996</v>
      </c>
      <c r="Y27" s="306">
        <f t="shared" ref="Y27:AA28" si="13">X27*(1+Y$7)</f>
        <v>2.4710699999999992</v>
      </c>
      <c r="Z27" s="306">
        <f t="shared" si="13"/>
        <v>2.5328467499999991</v>
      </c>
      <c r="AA27" s="328">
        <f t="shared" si="13"/>
        <v>2.5961679187499991</v>
      </c>
    </row>
    <row r="28" spans="1:27" s="3" customFormat="1" x14ac:dyDescent="0.2">
      <c r="A28" s="3" t="s">
        <v>19</v>
      </c>
      <c r="B28" s="1" t="s">
        <v>257</v>
      </c>
      <c r="C28" s="7"/>
      <c r="D28" s="7"/>
      <c r="E28" s="7"/>
      <c r="F28" s="7"/>
      <c r="G28" s="7"/>
      <c r="H28" s="7">
        <v>0.4</v>
      </c>
      <c r="I28" s="7">
        <v>0.3</v>
      </c>
      <c r="J28" s="7">
        <v>0.626</v>
      </c>
      <c r="K28" s="7">
        <v>1.9039999999999999</v>
      </c>
      <c r="L28" s="118">
        <v>1.8580000000000001</v>
      </c>
      <c r="M28" s="118">
        <v>0.67600000000000005</v>
      </c>
      <c r="N28" s="118">
        <v>1.3939999999999999</v>
      </c>
      <c r="O28" s="118">
        <v>1.0068349999999999</v>
      </c>
      <c r="P28" s="202">
        <v>2.5065339999999998</v>
      </c>
      <c r="Q28" s="202">
        <v>1.484</v>
      </c>
      <c r="R28" s="118">
        <v>1.01</v>
      </c>
      <c r="S28" s="202">
        <v>0.88500000000000001</v>
      </c>
      <c r="T28" s="202">
        <v>2.6659999999999999</v>
      </c>
      <c r="U28" s="120">
        <v>5.32</v>
      </c>
      <c r="V28" s="120">
        <v>4.6260000000000003</v>
      </c>
      <c r="W28" s="476">
        <v>3.3090000000000002</v>
      </c>
      <c r="X28" s="306">
        <f t="shared" si="12"/>
        <v>3.3917249999999997</v>
      </c>
      <c r="Y28" s="306">
        <f t="shared" si="13"/>
        <v>3.4765181249999992</v>
      </c>
      <c r="Z28" s="306">
        <f t="shared" si="13"/>
        <v>3.5634310781249989</v>
      </c>
      <c r="AA28" s="328">
        <f t="shared" si="13"/>
        <v>3.6525168550781237</v>
      </c>
    </row>
    <row r="29" spans="1:27" s="8" customFormat="1" x14ac:dyDescent="0.2">
      <c r="A29" s="8" t="s">
        <v>21</v>
      </c>
      <c r="B29" s="8" t="s">
        <v>31</v>
      </c>
      <c r="C29" s="8">
        <f>SUM(C26:C28)</f>
        <v>0</v>
      </c>
      <c r="D29" s="8">
        <f t="shared" ref="D29:K29" si="14">SUM(D26:D28)</f>
        <v>0</v>
      </c>
      <c r="E29" s="8">
        <f t="shared" si="14"/>
        <v>0</v>
      </c>
      <c r="F29" s="8">
        <f t="shared" si="14"/>
        <v>0</v>
      </c>
      <c r="G29" s="8">
        <f t="shared" si="14"/>
        <v>0</v>
      </c>
      <c r="H29" s="8">
        <f t="shared" si="14"/>
        <v>1.2000000000000002</v>
      </c>
      <c r="I29" s="8">
        <f t="shared" si="14"/>
        <v>1.4000000000000001</v>
      </c>
      <c r="J29" s="8">
        <f t="shared" si="14"/>
        <v>1.536</v>
      </c>
      <c r="K29" s="8">
        <f t="shared" si="14"/>
        <v>4.8680000000000003</v>
      </c>
      <c r="L29" s="119">
        <f t="shared" ref="L29:Y29" si="15">SUM(L26:L28)</f>
        <v>4.8019999999999996</v>
      </c>
      <c r="M29" s="119">
        <f t="shared" si="15"/>
        <v>4.2460000000000004</v>
      </c>
      <c r="N29" s="119">
        <f t="shared" si="15"/>
        <v>3.6520000000000001</v>
      </c>
      <c r="O29" s="119">
        <f t="shared" si="15"/>
        <v>3.189095</v>
      </c>
      <c r="P29" s="200">
        <f t="shared" si="15"/>
        <v>6.7880219999999998</v>
      </c>
      <c r="Q29" s="200">
        <f t="shared" si="15"/>
        <v>4.4459999999999997</v>
      </c>
      <c r="R29" s="119">
        <f t="shared" si="15"/>
        <v>6.4670000000000005</v>
      </c>
      <c r="S29" s="200">
        <f t="shared" si="15"/>
        <v>6.1419999999999995</v>
      </c>
      <c r="T29" s="200">
        <f t="shared" si="15"/>
        <v>7.6929999999999996</v>
      </c>
      <c r="U29" s="339">
        <f t="shared" si="15"/>
        <v>13.807</v>
      </c>
      <c r="V29" s="119">
        <f t="shared" si="15"/>
        <v>10.843</v>
      </c>
      <c r="W29" s="477">
        <f t="shared" si="15"/>
        <v>11.251000000000001</v>
      </c>
      <c r="X29" s="319">
        <f t="shared" si="15"/>
        <v>11.532274999999998</v>
      </c>
      <c r="Y29" s="319">
        <f t="shared" si="15"/>
        <v>11.820581874999998</v>
      </c>
      <c r="Z29" s="319">
        <f>SUM(Z26:Z28)</f>
        <v>12.116096421874996</v>
      </c>
      <c r="AA29" s="329">
        <f>SUM(AA26:AA28)</f>
        <v>12.418998832421872</v>
      </c>
    </row>
    <row r="30" spans="1:27" s="3" customFormat="1" x14ac:dyDescent="0.2">
      <c r="L30" s="121"/>
      <c r="M30" s="121"/>
      <c r="N30" s="121"/>
      <c r="O30" s="121"/>
      <c r="P30" s="203"/>
      <c r="Q30" s="203"/>
      <c r="R30" s="121"/>
      <c r="S30" s="203"/>
      <c r="T30" s="203"/>
      <c r="U30" s="146"/>
      <c r="V30" s="146"/>
      <c r="W30" s="524"/>
      <c r="X30" s="547"/>
      <c r="Y30" s="547"/>
      <c r="Z30" s="547"/>
      <c r="AA30" s="548"/>
    </row>
    <row r="31" spans="1:27" s="3" customFormat="1" x14ac:dyDescent="0.2">
      <c r="A31" s="12" t="s">
        <v>25</v>
      </c>
      <c r="B31" s="9" t="s">
        <v>254</v>
      </c>
      <c r="C31" s="7">
        <f>'Data Input'!I40</f>
        <v>14</v>
      </c>
      <c r="D31" s="7">
        <f>'Data Input'!J40</f>
        <v>14</v>
      </c>
      <c r="E31" s="7">
        <f>'Data Input'!K40</f>
        <v>13</v>
      </c>
      <c r="F31" s="7">
        <f>'Data Input'!L40</f>
        <v>13</v>
      </c>
      <c r="G31" s="7">
        <f>'Data Input'!M40</f>
        <v>14</v>
      </c>
      <c r="H31" s="7">
        <f>'Data Input'!N40</f>
        <v>14</v>
      </c>
      <c r="I31" s="7">
        <f>'Data Input'!O40</f>
        <v>13</v>
      </c>
      <c r="J31" s="7">
        <f>'Data Input'!P40</f>
        <v>13</v>
      </c>
      <c r="K31" s="7">
        <f>'Data Input'!Q40</f>
        <v>13</v>
      </c>
      <c r="L31" s="118">
        <f>'Data Input'!R40</f>
        <v>13</v>
      </c>
      <c r="M31" s="118">
        <f>'Data Input'!S40</f>
        <v>13</v>
      </c>
      <c r="N31" s="118">
        <f>'Data Input'!T40</f>
        <v>13.6</v>
      </c>
      <c r="O31" s="118">
        <f>'Data Input'!U40</f>
        <v>13.8</v>
      </c>
      <c r="P31" s="202">
        <f>'Data Input'!V40</f>
        <v>14</v>
      </c>
      <c r="Q31" s="223">
        <f>'Data Input'!W40</f>
        <v>14</v>
      </c>
      <c r="R31" s="234">
        <v>13.9</v>
      </c>
      <c r="S31" s="223">
        <f>'Data Input'!Y40</f>
        <v>14.1</v>
      </c>
      <c r="T31" s="223">
        <f>'Data Input'!Z40</f>
        <v>14.6</v>
      </c>
      <c r="U31" s="340">
        <f>'Data Input'!AA40</f>
        <v>14.5</v>
      </c>
      <c r="V31" s="340">
        <f>'Data Input'!AB40</f>
        <v>14.4</v>
      </c>
      <c r="W31" s="543">
        <f>'Data Input'!AC40</f>
        <v>15.3</v>
      </c>
      <c r="X31" s="544">
        <f>'Data Input'!AD40</f>
        <v>15.3</v>
      </c>
      <c r="Y31" s="544">
        <f>'Data Input'!AE40</f>
        <v>15.3</v>
      </c>
      <c r="Z31" s="544">
        <f>'Data Input'!AF40</f>
        <v>15.3</v>
      </c>
      <c r="AA31" s="544">
        <f>'Data Input'!AG40</f>
        <v>15.3</v>
      </c>
    </row>
    <row r="32" spans="1:27" x14ac:dyDescent="0.2">
      <c r="P32" s="201"/>
      <c r="Q32" s="201"/>
      <c r="S32" s="201"/>
      <c r="T32" s="201"/>
      <c r="U32" s="303"/>
      <c r="V32" s="303"/>
      <c r="W32" s="520"/>
      <c r="X32" s="541"/>
      <c r="Y32" s="541"/>
      <c r="Z32" s="541"/>
      <c r="AA32" s="542"/>
    </row>
    <row r="33" spans="1:29" x14ac:dyDescent="0.2">
      <c r="A33" s="2" t="s">
        <v>24</v>
      </c>
      <c r="D33" s="13" t="s">
        <v>39</v>
      </c>
      <c r="E33" s="13" t="s">
        <v>40</v>
      </c>
      <c r="F33" s="13" t="s">
        <v>41</v>
      </c>
      <c r="G33" s="13" t="s">
        <v>42</v>
      </c>
      <c r="H33" s="13" t="s">
        <v>43</v>
      </c>
      <c r="I33" s="13" t="s">
        <v>44</v>
      </c>
      <c r="J33" s="13" t="s">
        <v>45</v>
      </c>
      <c r="K33" s="13" t="s">
        <v>168</v>
      </c>
      <c r="L33" s="123" t="s">
        <v>169</v>
      </c>
      <c r="M33" s="123" t="s">
        <v>170</v>
      </c>
      <c r="N33" s="123" t="s">
        <v>171</v>
      </c>
      <c r="O33" s="123" t="s">
        <v>172</v>
      </c>
      <c r="P33" s="205" t="s">
        <v>173</v>
      </c>
      <c r="Q33" s="205" t="s">
        <v>174</v>
      </c>
      <c r="R33" s="123" t="s">
        <v>175</v>
      </c>
      <c r="S33" s="205" t="s">
        <v>176</v>
      </c>
      <c r="T33" s="205" t="s">
        <v>177</v>
      </c>
      <c r="U33" s="123" t="s">
        <v>178</v>
      </c>
      <c r="V33" s="123" t="s">
        <v>294</v>
      </c>
      <c r="W33" s="478" t="s">
        <v>294</v>
      </c>
      <c r="X33" s="320" t="s">
        <v>294</v>
      </c>
      <c r="Y33" s="320" t="s">
        <v>294</v>
      </c>
      <c r="Z33" s="320" t="s">
        <v>294</v>
      </c>
      <c r="AA33" s="330" t="s">
        <v>294</v>
      </c>
    </row>
    <row r="34" spans="1:29" x14ac:dyDescent="0.2">
      <c r="A34" s="3" t="s">
        <v>19</v>
      </c>
      <c r="B34" t="s">
        <v>326</v>
      </c>
      <c r="D34" s="114"/>
      <c r="E34" s="114"/>
      <c r="F34" s="114"/>
      <c r="G34" s="114"/>
      <c r="H34" s="114"/>
      <c r="I34" s="114"/>
      <c r="J34" s="114"/>
      <c r="K34" s="114">
        <v>2</v>
      </c>
      <c r="L34" s="118">
        <v>1.7209587799999999</v>
      </c>
      <c r="M34" s="155">
        <v>1.2749999999999999</v>
      </c>
      <c r="N34" s="118">
        <v>1.9167769100000001</v>
      </c>
      <c r="O34" s="118">
        <v>0.75204199999999999</v>
      </c>
      <c r="P34" s="199">
        <v>2.5734319999999999</v>
      </c>
      <c r="Q34" s="294">
        <v>1.5433056599999999</v>
      </c>
      <c r="R34" s="118">
        <v>2.1390500000000001</v>
      </c>
      <c r="S34" s="199">
        <v>2.3824589999999999</v>
      </c>
      <c r="T34" s="120">
        <v>2.4652271099999998</v>
      </c>
      <c r="U34" s="120">
        <v>5.4058700000000002</v>
      </c>
      <c r="V34" s="120">
        <v>5.1298110000000001</v>
      </c>
      <c r="W34" s="476">
        <v>2.6689590000000001</v>
      </c>
      <c r="X34" s="306">
        <f t="shared" ref="X34:AA34" si="16">W34*(1+X$7)</f>
        <v>2.735682975</v>
      </c>
      <c r="Y34" s="306">
        <f t="shared" si="16"/>
        <v>2.8040750493749997</v>
      </c>
      <c r="Z34" s="306">
        <f t="shared" si="16"/>
        <v>2.8741769256093743</v>
      </c>
      <c r="AA34" s="328">
        <f t="shared" si="16"/>
        <v>2.9460313487496084</v>
      </c>
    </row>
    <row r="36" spans="1:29" x14ac:dyDescent="0.2">
      <c r="A36" s="115"/>
      <c r="C36" s="115"/>
      <c r="D36" s="115"/>
      <c r="E36" s="115"/>
      <c r="F36" s="115"/>
      <c r="G36" s="115"/>
      <c r="H36" s="115"/>
      <c r="I36" s="115"/>
      <c r="J36" s="115"/>
      <c r="K36" s="115"/>
    </row>
    <row r="37" spans="1:29" x14ac:dyDescent="0.2">
      <c r="Q37" s="303"/>
    </row>
    <row r="38" spans="1:29" x14ac:dyDescent="0.2">
      <c r="AC38" s="218"/>
    </row>
  </sheetData>
  <phoneticPr fontId="0" type="noConversion"/>
  <pageMargins left="0.75" right="0.75" top="1" bottom="1" header="0.5" footer="0.5"/>
  <pageSetup paperSize="5" orientation="landscape" r:id="rId1"/>
  <headerFooter alignWithMargins="0">
    <oddFooter>&amp;L&amp;"Arial,Bold"&amp;F&amp;C&amp;A&amp;R&amp;D  &amp;T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75" zoomScaleNormal="75" workbookViewId="0">
      <pane xSplit="2" ySplit="4" topLeftCell="R5" activePane="bottomRight" state="frozen"/>
      <selection activeCell="AF39" sqref="AF39"/>
      <selection pane="topRight" activeCell="AF39" sqref="AF39"/>
      <selection pane="bottomLeft" activeCell="AF39" sqref="AF39"/>
      <selection pane="bottomRight" activeCell="AJ25" sqref="AJ25"/>
    </sheetView>
  </sheetViews>
  <sheetFormatPr baseColWidth="10" defaultColWidth="9.140625" defaultRowHeight="12.75" outlineLevelCol="1" x14ac:dyDescent="0.2"/>
  <cols>
    <col min="1" max="1" width="49.42578125" customWidth="1"/>
    <col min="2" max="2" width="19.5703125" customWidth="1"/>
    <col min="11" max="16" width="9.140625" style="115"/>
    <col min="17" max="17" width="9.42578125" style="115" customWidth="1"/>
    <col min="18" max="20" width="9.140625" style="115"/>
    <col min="21" max="21" width="9.140625" style="115" customWidth="1"/>
    <col min="22" max="22" width="9.140625" style="488" customWidth="1"/>
    <col min="23" max="25" width="9.140625" style="76" hidden="1" customWidth="1" outlineLevel="1"/>
    <col min="26" max="26" width="9.140625" style="238" hidden="1" customWidth="1" outlineLevel="1"/>
    <col min="27" max="27" width="9.140625" collapsed="1"/>
  </cols>
  <sheetData>
    <row r="1" spans="1:26" ht="15.75" x14ac:dyDescent="0.25">
      <c r="A1" s="18" t="s">
        <v>258</v>
      </c>
      <c r="B1" s="18"/>
    </row>
    <row r="2" spans="1:26" ht="15.75" x14ac:dyDescent="0.25">
      <c r="A2" s="2" t="s">
        <v>68</v>
      </c>
      <c r="B2" s="18"/>
    </row>
    <row r="3" spans="1:26" x14ac:dyDescent="0.2">
      <c r="A3" s="308" t="s">
        <v>406</v>
      </c>
      <c r="T3" s="338" t="s">
        <v>178</v>
      </c>
      <c r="U3" s="338" t="s">
        <v>294</v>
      </c>
      <c r="V3" s="489" t="s">
        <v>309</v>
      </c>
      <c r="W3" s="309" t="s">
        <v>315</v>
      </c>
      <c r="X3" s="309" t="s">
        <v>316</v>
      </c>
      <c r="Y3" s="309" t="s">
        <v>317</v>
      </c>
      <c r="Z3" s="310" t="s">
        <v>318</v>
      </c>
    </row>
    <row r="4" spans="1:26" ht="13.5" thickBot="1" x14ac:dyDescent="0.25">
      <c r="A4" s="19" t="s">
        <v>1</v>
      </c>
      <c r="B4" s="20" t="s">
        <v>26</v>
      </c>
      <c r="C4" s="20">
        <v>1996</v>
      </c>
      <c r="D4" s="20">
        <v>1997</v>
      </c>
      <c r="E4" s="20">
        <v>1998</v>
      </c>
      <c r="F4" s="20">
        <v>1999</v>
      </c>
      <c r="G4" s="20">
        <v>2000</v>
      </c>
      <c r="H4" s="20">
        <v>2001</v>
      </c>
      <c r="I4" s="20">
        <v>2002</v>
      </c>
      <c r="J4" s="20">
        <v>2003</v>
      </c>
      <c r="K4" s="116">
        <v>2004</v>
      </c>
      <c r="L4" s="116">
        <v>2005</v>
      </c>
      <c r="M4" s="116">
        <v>2006</v>
      </c>
      <c r="N4" s="116">
        <v>2007</v>
      </c>
      <c r="O4" s="116">
        <v>2008</v>
      </c>
      <c r="P4" s="116">
        <v>2009</v>
      </c>
      <c r="Q4" s="116">
        <v>2010</v>
      </c>
      <c r="R4" s="116">
        <v>2011</v>
      </c>
      <c r="S4" s="116">
        <v>2012</v>
      </c>
      <c r="T4" s="116">
        <v>2013</v>
      </c>
      <c r="U4" s="116">
        <v>2014</v>
      </c>
      <c r="V4" s="490">
        <v>2015</v>
      </c>
      <c r="W4" s="77">
        <v>2016</v>
      </c>
      <c r="X4" s="77">
        <v>2017</v>
      </c>
      <c r="Y4" s="77">
        <v>2018</v>
      </c>
      <c r="Z4" s="239">
        <v>2019</v>
      </c>
    </row>
    <row r="7" spans="1:26" x14ac:dyDescent="0.2">
      <c r="A7" s="28" t="s">
        <v>261</v>
      </c>
    </row>
    <row r="8" spans="1:26" x14ac:dyDescent="0.2">
      <c r="A8" s="3" t="s">
        <v>48</v>
      </c>
      <c r="B8" s="3" t="s">
        <v>259</v>
      </c>
      <c r="C8" s="3">
        <f>'RCA data'!C11</f>
        <v>380</v>
      </c>
      <c r="D8" s="3">
        <f>'RCA data'!D11</f>
        <v>347</v>
      </c>
      <c r="E8" s="3">
        <f>'RCA data'!E11</f>
        <v>273</v>
      </c>
      <c r="F8" s="3">
        <f>'RCA data'!F11</f>
        <v>286</v>
      </c>
      <c r="G8" s="3">
        <f>'RCA data'!G11</f>
        <v>239</v>
      </c>
      <c r="H8" s="3">
        <f>'RCA data'!H11</f>
        <v>306</v>
      </c>
      <c r="I8" s="3">
        <f>'RCA data'!I11</f>
        <v>361</v>
      </c>
      <c r="J8" s="3">
        <f>'RCA data'!J11</f>
        <v>474.67</v>
      </c>
      <c r="K8" s="121">
        <f>'RCA data'!K11</f>
        <v>157.977</v>
      </c>
      <c r="L8" s="121">
        <f>'RCA data'!L11</f>
        <v>188.56900000000002</v>
      </c>
      <c r="M8" s="121">
        <f>'RCA data'!M11</f>
        <v>167.649</v>
      </c>
      <c r="N8" s="121">
        <f>'RCA data'!N11</f>
        <v>207.655</v>
      </c>
      <c r="O8" s="121">
        <f>'RCA data'!O11</f>
        <v>245.40100000000001</v>
      </c>
      <c r="P8" s="121">
        <f>'RCA data'!P11</f>
        <v>227.29400000000001</v>
      </c>
      <c r="Q8" s="121">
        <f>'RCA data'!Q11</f>
        <v>295.99200000000002</v>
      </c>
      <c r="R8" s="121">
        <f>'RCA data'!R11</f>
        <v>383.58199999999999</v>
      </c>
      <c r="S8" s="121">
        <f>'RCA data'!S11</f>
        <v>391.83499999999998</v>
      </c>
      <c r="T8" s="121">
        <f>'RCA data'!T11</f>
        <v>380.09500000000003</v>
      </c>
      <c r="U8" s="121">
        <f>'RCA data'!U11</f>
        <v>344.35599999999999</v>
      </c>
      <c r="V8" s="491">
        <f>'RCA data'!V11</f>
        <v>329.99400000000003</v>
      </c>
      <c r="W8" s="79">
        <f>'RCA data'!W11</f>
        <v>309.17200000000003</v>
      </c>
      <c r="X8" s="79">
        <f>'RCA data'!X11</f>
        <v>310.16956500000003</v>
      </c>
      <c r="Y8" s="79">
        <f>'RCA data'!Y11</f>
        <v>311.20723923125001</v>
      </c>
      <c r="Z8" s="240">
        <f>'RCA data'!Z11</f>
        <v>312.28814035075783</v>
      </c>
    </row>
    <row r="9" spans="1:26" x14ac:dyDescent="0.2">
      <c r="A9" s="3" t="s">
        <v>51</v>
      </c>
      <c r="B9" s="3" t="s">
        <v>260</v>
      </c>
      <c r="C9" s="3">
        <f>'RCA data'!D13/2</f>
        <v>15.5</v>
      </c>
      <c r="D9" s="3">
        <f>'RCA data'!E13/2</f>
        <v>10.5</v>
      </c>
      <c r="E9" s="3">
        <f>'RCA data'!F13/2</f>
        <v>12.5</v>
      </c>
      <c r="F9" s="3">
        <f>'RCA data'!G13/2</f>
        <v>11</v>
      </c>
      <c r="G9" s="3">
        <f>'RCA data'!H13/2</f>
        <v>9</v>
      </c>
      <c r="H9" s="3">
        <f>'RCA data'!I13/2</f>
        <v>16</v>
      </c>
      <c r="I9" s="3">
        <f>'RCA data'!J13/2</f>
        <v>16.324000000000002</v>
      </c>
      <c r="J9" s="3">
        <f>'RCA data'!K13/2</f>
        <v>4.5380000000000003</v>
      </c>
      <c r="K9" s="121">
        <f>'RCA data'!L13/2</f>
        <v>5.1684999999999999</v>
      </c>
      <c r="L9" s="121">
        <f>'RCA data'!M13/2</f>
        <v>5.7975000000000003</v>
      </c>
      <c r="M9" s="121">
        <f>'RCA data'!N13/2</f>
        <v>3.665</v>
      </c>
      <c r="N9" s="121">
        <f>'RCA data'!O13/2</f>
        <v>4.6524999999999999</v>
      </c>
      <c r="O9" s="121">
        <f>'RCA data'!P13/2</f>
        <v>5.4195000000000002</v>
      </c>
      <c r="P9" s="121">
        <f>'RCA data'!Q13/2</f>
        <v>4.9725000000000001</v>
      </c>
      <c r="Q9" s="121">
        <f>'RCA data'!R13/2</f>
        <v>6.4095000000000004</v>
      </c>
      <c r="R9" s="121">
        <f>'RCA data'!S13/2</f>
        <v>7.5060000000000002</v>
      </c>
      <c r="S9" s="121">
        <f>'RCA data'!T13/2</f>
        <v>7.2874999999999996</v>
      </c>
      <c r="T9" s="121">
        <f>'RCA data'!U13/2</f>
        <v>6.7255000000000003</v>
      </c>
      <c r="U9" s="121">
        <f>'RCA data'!V13/2</f>
        <v>3.2679999999999998</v>
      </c>
      <c r="V9" s="491">
        <f>'RCA data'!W13/2</f>
        <v>4.1120000000000001</v>
      </c>
      <c r="W9" s="79">
        <f>'RCA data'!X13/2</f>
        <v>4.2147999999999994</v>
      </c>
      <c r="X9" s="79">
        <f>'RCA data'!Y13/2</f>
        <v>4.3201699999999992</v>
      </c>
      <c r="Y9" s="79">
        <f>'RCA data'!Z13/2</f>
        <v>4.4281742499999988</v>
      </c>
      <c r="Z9" s="240">
        <f>'RCA data'!AA13/2</f>
        <v>4.5388786062499982</v>
      </c>
    </row>
    <row r="10" spans="1:26" x14ac:dyDescent="0.2">
      <c r="A10" s="3" t="s">
        <v>52</v>
      </c>
      <c r="B10" s="3" t="s">
        <v>260</v>
      </c>
      <c r="C10" s="3">
        <f>('RCA data'!D14+'RCA data'!D15)/2</f>
        <v>0</v>
      </c>
      <c r="D10" s="3">
        <f>('RCA data'!E14+'RCA data'!E15)/2</f>
        <v>0</v>
      </c>
      <c r="E10" s="3">
        <f>('RCA data'!F14+'RCA data'!F15)/2</f>
        <v>35.5</v>
      </c>
      <c r="F10" s="3">
        <f>('RCA data'!G14+'RCA data'!G15)/2</f>
        <v>0</v>
      </c>
      <c r="G10" s="3">
        <f>('RCA data'!H14+'RCA data'!H15)/2</f>
        <v>0</v>
      </c>
      <c r="H10" s="3">
        <f>('RCA data'!I14+'RCA data'!I15)/2</f>
        <v>19.5</v>
      </c>
      <c r="I10" s="3">
        <f>('RCA data'!J14+'RCA data'!J15)/2</f>
        <v>0</v>
      </c>
      <c r="J10" s="3">
        <f>('RCA data'!K14+'RCA data'!K15)/2</f>
        <v>0</v>
      </c>
      <c r="K10" s="121">
        <f>('RCA data'!L14+'RCA data'!L15)/2</f>
        <v>0</v>
      </c>
      <c r="L10" s="121">
        <f>('RCA data'!M14+'RCA data'!M15)/2</f>
        <v>0</v>
      </c>
      <c r="M10" s="121">
        <f>('RCA data'!N14+'RCA data'!N15)/2</f>
        <v>0</v>
      </c>
      <c r="N10" s="121">
        <f>('RCA data'!O14+'RCA data'!O15)/2</f>
        <v>0</v>
      </c>
      <c r="O10" s="121">
        <f>('RCA data'!P14+'RCA data'!P15)/2</f>
        <v>0</v>
      </c>
      <c r="P10" s="121">
        <f>('RCA data'!Q14+'RCA data'!Q15)/2</f>
        <v>0</v>
      </c>
      <c r="Q10" s="121">
        <f>('RCA data'!R14+'RCA data'!R15)/2</f>
        <v>0</v>
      </c>
      <c r="R10" s="121">
        <f>('RCA data'!S14+'RCA data'!S15)/2</f>
        <v>0</v>
      </c>
      <c r="S10" s="121">
        <f>('RCA data'!T14+'RCA data'!T15)/2</f>
        <v>0</v>
      </c>
      <c r="T10" s="121">
        <f>('RCA data'!U14+'RCA data'!U15)/2</f>
        <v>0</v>
      </c>
      <c r="U10" s="121">
        <f>('RCA data'!V14+'RCA data'!V15)/2</f>
        <v>0</v>
      </c>
      <c r="V10" s="491">
        <f>('RCA data'!W14+'RCA data'!W15)/2</f>
        <v>0</v>
      </c>
      <c r="W10" s="79">
        <f>('RCA data'!X14+'RCA data'!X15)/2</f>
        <v>0</v>
      </c>
      <c r="X10" s="79">
        <f>('RCA data'!Y14+'RCA data'!Y15)/2</f>
        <v>0</v>
      </c>
      <c r="Y10" s="79">
        <f>('RCA data'!Z14+'RCA data'!Z15)/2</f>
        <v>0</v>
      </c>
      <c r="Z10" s="240">
        <f>('RCA data'!AA14+'RCA data'!AA15)/2</f>
        <v>0</v>
      </c>
    </row>
    <row r="11" spans="1:26" x14ac:dyDescent="0.2">
      <c r="A11" s="3" t="s">
        <v>53</v>
      </c>
      <c r="B11" s="3" t="s">
        <v>260</v>
      </c>
      <c r="C11" s="6">
        <f>'RCA data'!D16/2</f>
        <v>0</v>
      </c>
      <c r="D11" s="6">
        <f>'RCA data'!E16/2</f>
        <v>0</v>
      </c>
      <c r="E11" s="6">
        <f>'RCA data'!F16/2</f>
        <v>0</v>
      </c>
      <c r="F11" s="6">
        <f>'RCA data'!G16/2</f>
        <v>0</v>
      </c>
      <c r="G11" s="6">
        <f>'RCA data'!H16/2</f>
        <v>0</v>
      </c>
      <c r="H11" s="6">
        <f>'RCA data'!I16/2</f>
        <v>-0.5</v>
      </c>
      <c r="I11" s="6">
        <f>'RCA data'!J16/2</f>
        <v>-0.61899999999999999</v>
      </c>
      <c r="J11" s="6">
        <f>'RCA data'!K16/2</f>
        <v>-0.86450000000000005</v>
      </c>
      <c r="K11" s="125">
        <f>'RCA data'!L16/2</f>
        <v>-1.028</v>
      </c>
      <c r="L11" s="125">
        <f>'RCA data'!M16/2</f>
        <v>-1.2875000000000001</v>
      </c>
      <c r="M11" s="125">
        <f>'RCA data'!N16/2</f>
        <v>-1.4</v>
      </c>
      <c r="N11" s="125">
        <f>'RCA data'!O16/2</f>
        <v>-1.6105</v>
      </c>
      <c r="O11" s="125">
        <f>'RCA data'!P16/2</f>
        <v>-1.8560000000000001</v>
      </c>
      <c r="P11" s="125">
        <f>'RCA data'!Q16/2</f>
        <v>-2.2124999999999999</v>
      </c>
      <c r="Q11" s="125">
        <f>'RCA data'!R16/2</f>
        <v>-2.4049999999999998</v>
      </c>
      <c r="R11" s="125">
        <f>'RCA data'!S16/2</f>
        <v>-2.9584999999999999</v>
      </c>
      <c r="S11" s="125">
        <f>'RCA data'!T16/2</f>
        <v>-3.03</v>
      </c>
      <c r="T11" s="125">
        <f>'RCA data'!U16/2</f>
        <v>-3.2955000000000001</v>
      </c>
      <c r="U11" s="125">
        <f>'RCA data'!V16/2</f>
        <v>-4.5175000000000001</v>
      </c>
      <c r="V11" s="492">
        <f>'RCA data'!W16/2</f>
        <v>-6.1360000000000001</v>
      </c>
      <c r="W11" s="81">
        <f>'RCA data'!X16/2</f>
        <v>-6.2280399999999991</v>
      </c>
      <c r="X11" s="81">
        <f>'RCA data'!Y16/2</f>
        <v>-6.3214605999999982</v>
      </c>
      <c r="Y11" s="81">
        <f>'RCA data'!Z16/2</f>
        <v>-6.4162825089999975</v>
      </c>
      <c r="Z11" s="241">
        <f>'RCA data'!AA16/2</f>
        <v>-6.5125267466349968</v>
      </c>
    </row>
    <row r="12" spans="1:26" x14ac:dyDescent="0.2">
      <c r="A12" s="8" t="s">
        <v>54</v>
      </c>
      <c r="B12" s="8" t="s">
        <v>31</v>
      </c>
      <c r="C12" s="8">
        <f t="shared" ref="C12:J12" si="0">SUM(C8:C11)</f>
        <v>395.5</v>
      </c>
      <c r="D12" s="8">
        <f t="shared" si="0"/>
        <v>357.5</v>
      </c>
      <c r="E12" s="8">
        <f t="shared" si="0"/>
        <v>321</v>
      </c>
      <c r="F12" s="8">
        <f t="shared" si="0"/>
        <v>297</v>
      </c>
      <c r="G12" s="8">
        <f t="shared" si="0"/>
        <v>248</v>
      </c>
      <c r="H12" s="8">
        <f t="shared" si="0"/>
        <v>341</v>
      </c>
      <c r="I12" s="8">
        <f t="shared" si="0"/>
        <v>376.70499999999998</v>
      </c>
      <c r="J12" s="8">
        <f t="shared" si="0"/>
        <v>478.34350000000001</v>
      </c>
      <c r="K12" s="119">
        <f t="shared" ref="K12:X12" si="1">SUM(K8:K11)</f>
        <v>162.11750000000001</v>
      </c>
      <c r="L12" s="119">
        <f t="shared" si="1"/>
        <v>193.07900000000004</v>
      </c>
      <c r="M12" s="119">
        <f t="shared" si="1"/>
        <v>169.91399999999999</v>
      </c>
      <c r="N12" s="119">
        <f t="shared" si="1"/>
        <v>210.697</v>
      </c>
      <c r="O12" s="119">
        <f t="shared" si="1"/>
        <v>248.96450000000002</v>
      </c>
      <c r="P12" s="119">
        <f t="shared" si="1"/>
        <v>230.054</v>
      </c>
      <c r="Q12" s="119">
        <f t="shared" si="1"/>
        <v>299.99650000000003</v>
      </c>
      <c r="R12" s="119">
        <f t="shared" si="1"/>
        <v>388.12949999999995</v>
      </c>
      <c r="S12" s="119">
        <f t="shared" si="1"/>
        <v>396.09250000000003</v>
      </c>
      <c r="T12" s="119">
        <f t="shared" si="1"/>
        <v>383.52500000000003</v>
      </c>
      <c r="U12" s="119">
        <f t="shared" si="1"/>
        <v>343.10649999999998</v>
      </c>
      <c r="V12" s="493">
        <f t="shared" si="1"/>
        <v>327.97</v>
      </c>
      <c r="W12" s="78">
        <f t="shared" si="1"/>
        <v>307.15876000000003</v>
      </c>
      <c r="X12" s="78">
        <f t="shared" si="1"/>
        <v>308.16827440000003</v>
      </c>
      <c r="Y12" s="78">
        <f>SUM(Y8:Y11)</f>
        <v>309.21913097225001</v>
      </c>
      <c r="Z12" s="242">
        <f>SUM(Z8:Z11)</f>
        <v>310.31449221037286</v>
      </c>
    </row>
    <row r="13" spans="1:26" x14ac:dyDescent="0.2">
      <c r="A13" s="1" t="s">
        <v>55</v>
      </c>
      <c r="B13" s="3" t="s">
        <v>259</v>
      </c>
      <c r="C13" s="4">
        <f>'RCA data'!D6</f>
        <v>4.1250000000000002E-2</v>
      </c>
      <c r="D13" s="4">
        <f>'RCA data'!E6</f>
        <v>3.875E-2</v>
      </c>
      <c r="E13" s="4">
        <f>'RCA data'!F6</f>
        <v>3.6249999999999998E-2</v>
      </c>
      <c r="F13" s="4">
        <f>'RCA data'!G6</f>
        <v>3.3750000000000002E-2</v>
      </c>
      <c r="G13" s="4">
        <f>'RCA data'!H6</f>
        <v>3.125E-2</v>
      </c>
      <c r="H13" s="4">
        <f>'RCA data'!I6</f>
        <v>3.15E-2</v>
      </c>
      <c r="I13" s="4">
        <f>'RCA data'!J6</f>
        <v>2.9499999999999998E-2</v>
      </c>
      <c r="J13" s="4">
        <f>'RCA data'!K6</f>
        <v>2.8500000000000001E-2</v>
      </c>
      <c r="K13" s="128">
        <f>'RCA data'!L6</f>
        <v>2.6749999999999999E-2</v>
      </c>
      <c r="L13" s="128">
        <f>'RCA data'!M6</f>
        <v>2.3E-2</v>
      </c>
      <c r="M13" s="128">
        <f>'RCA data'!N6</f>
        <v>2.35E-2</v>
      </c>
      <c r="N13" s="128">
        <f>'RCA data'!O6</f>
        <v>2.325E-2</v>
      </c>
      <c r="O13" s="128">
        <f>'RCA data'!P6</f>
        <v>0.02</v>
      </c>
      <c r="P13" s="128">
        <f>'RCA data'!Q6</f>
        <v>0.02</v>
      </c>
      <c r="Q13" s="128">
        <f>'RCA data'!R6</f>
        <v>2.3E-2</v>
      </c>
      <c r="R13" s="128">
        <f>'RCA data'!S6</f>
        <v>2.0250000000000001E-2</v>
      </c>
      <c r="S13" s="128">
        <f>'RCA data'!T6</f>
        <v>1.7000000000000001E-2</v>
      </c>
      <c r="T13" s="128">
        <f>'RCA data'!U6</f>
        <v>1.7000000000000001E-2</v>
      </c>
      <c r="U13" s="128">
        <f>'RCA data'!V6</f>
        <v>2.1000000000000001E-2</v>
      </c>
      <c r="V13" s="494">
        <f>'RCA data'!W6</f>
        <v>1.6750000000000001E-2</v>
      </c>
      <c r="W13" s="82">
        <f>'RCA data'!X6</f>
        <v>1.6250000000000001E-2</v>
      </c>
      <c r="X13" s="82">
        <f>'RCA data'!Y6</f>
        <v>1.6250000000000001E-2</v>
      </c>
      <c r="Y13" s="82">
        <f>'RCA data'!Z6</f>
        <v>1.6250000000000001E-2</v>
      </c>
      <c r="Z13" s="243">
        <f>'RCA data'!AA6</f>
        <v>1.6250000000000001E-2</v>
      </c>
    </row>
    <row r="14" spans="1:26" x14ac:dyDescent="0.2">
      <c r="A14" s="25" t="s">
        <v>56</v>
      </c>
      <c r="B14" s="8" t="s">
        <v>31</v>
      </c>
      <c r="C14" s="26">
        <f t="shared" ref="C14:J14" si="2">C12*C13</f>
        <v>16.314375000000002</v>
      </c>
      <c r="D14" s="26">
        <f t="shared" si="2"/>
        <v>13.853125</v>
      </c>
      <c r="E14" s="26">
        <f t="shared" si="2"/>
        <v>11.636249999999999</v>
      </c>
      <c r="F14" s="26">
        <f t="shared" si="2"/>
        <v>10.023750000000001</v>
      </c>
      <c r="G14" s="26">
        <f t="shared" si="2"/>
        <v>7.75</v>
      </c>
      <c r="H14" s="26">
        <f t="shared" si="2"/>
        <v>10.7415</v>
      </c>
      <c r="I14" s="26">
        <f t="shared" si="2"/>
        <v>11.112797499999999</v>
      </c>
      <c r="J14" s="26">
        <f t="shared" si="2"/>
        <v>13.632789750000001</v>
      </c>
      <c r="K14" s="129">
        <f t="shared" ref="K14:X14" si="3">K12*K13</f>
        <v>4.3366431250000002</v>
      </c>
      <c r="L14" s="129">
        <f t="shared" si="3"/>
        <v>4.4408170000000009</v>
      </c>
      <c r="M14" s="129">
        <f t="shared" si="3"/>
        <v>3.9929789999999996</v>
      </c>
      <c r="N14" s="129">
        <f t="shared" si="3"/>
        <v>4.8987052499999999</v>
      </c>
      <c r="O14" s="129">
        <f t="shared" si="3"/>
        <v>4.9792900000000007</v>
      </c>
      <c r="P14" s="129">
        <f t="shared" si="3"/>
        <v>4.6010800000000005</v>
      </c>
      <c r="Q14" s="129">
        <f t="shared" si="3"/>
        <v>6.8999195000000002</v>
      </c>
      <c r="R14" s="129">
        <f t="shared" si="3"/>
        <v>7.8596223749999989</v>
      </c>
      <c r="S14" s="129">
        <f t="shared" si="3"/>
        <v>6.7335725000000011</v>
      </c>
      <c r="T14" s="129">
        <f t="shared" si="3"/>
        <v>6.5199250000000006</v>
      </c>
      <c r="U14" s="129">
        <f t="shared" si="3"/>
        <v>7.2052364999999998</v>
      </c>
      <c r="V14" s="495">
        <f t="shared" si="3"/>
        <v>5.493497500000001</v>
      </c>
      <c r="W14" s="83">
        <f t="shared" si="3"/>
        <v>4.9913298500000005</v>
      </c>
      <c r="X14" s="83">
        <f t="shared" si="3"/>
        <v>5.0077344590000008</v>
      </c>
      <c r="Y14" s="83">
        <f>Y12*Y13</f>
        <v>5.0248108782990633</v>
      </c>
      <c r="Z14" s="244">
        <f>Z12*Z13</f>
        <v>5.0426104984185596</v>
      </c>
    </row>
  </sheetData>
  <phoneticPr fontId="0" type="noConversion"/>
  <pageMargins left="1" right="1" top="1" bottom="1" header="0.5" footer="0.5"/>
  <pageSetup paperSize="5" scale="61" orientation="landscape" r:id="rId1"/>
  <headerFooter alignWithMargins="0">
    <oddFooter>&amp;L&amp;"Arial,Bold"&amp;F&amp;C&amp;A&amp;R&amp;D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4"/>
  <sheetViews>
    <sheetView workbookViewId="0">
      <pane xSplit="2" ySplit="5" topLeftCell="J6" activePane="bottomRight" state="frozen"/>
      <selection activeCell="AF39" sqref="AF39"/>
      <selection pane="topRight" activeCell="AF39" sqref="AF39"/>
      <selection pane="bottomLeft" activeCell="AF39" sqref="AF39"/>
      <selection pane="bottomRight" activeCell="J46" sqref="J46"/>
    </sheetView>
  </sheetViews>
  <sheetFormatPr baseColWidth="10" defaultColWidth="9.140625" defaultRowHeight="12.75" x14ac:dyDescent="0.2"/>
  <cols>
    <col min="1" max="1" width="55.140625" customWidth="1"/>
    <col min="2" max="2" width="20.28515625" customWidth="1"/>
    <col min="3" max="5" width="9.28515625" customWidth="1"/>
    <col min="6" max="6" width="10" customWidth="1"/>
    <col min="7" max="7" width="10.140625" customWidth="1"/>
    <col min="8" max="8" width="9.28515625" customWidth="1"/>
    <col min="9" max="9" width="10.42578125" customWidth="1"/>
    <col min="11" max="21" width="9.140625" style="115"/>
    <col min="22" max="22" width="9.140625" style="337"/>
    <col min="23" max="25" width="9.140625" style="76"/>
    <col min="26" max="26" width="9.140625" style="238"/>
    <col min="40" max="40" width="9.140625" style="176"/>
  </cols>
  <sheetData>
    <row r="1" spans="1:40" ht="15.75" x14ac:dyDescent="0.25">
      <c r="A1" s="18" t="s">
        <v>258</v>
      </c>
      <c r="B1" s="18"/>
    </row>
    <row r="2" spans="1:40" ht="15.75" x14ac:dyDescent="0.25">
      <c r="A2" s="2" t="s">
        <v>105</v>
      </c>
      <c r="B2" s="18"/>
    </row>
    <row r="3" spans="1:40" ht="15.75" x14ac:dyDescent="0.25">
      <c r="A3" s="2" t="s">
        <v>146</v>
      </c>
      <c r="B3" s="18"/>
    </row>
    <row r="5" spans="1:40" s="2" customFormat="1" ht="13.5" thickBot="1" x14ac:dyDescent="0.25">
      <c r="A5" s="19" t="s">
        <v>1</v>
      </c>
      <c r="B5" s="20" t="s">
        <v>26</v>
      </c>
      <c r="C5" s="20">
        <v>1996</v>
      </c>
      <c r="D5" s="20">
        <v>1997</v>
      </c>
      <c r="E5" s="20">
        <v>1998</v>
      </c>
      <c r="F5" s="20">
        <v>1999</v>
      </c>
      <c r="G5" s="20">
        <v>2000</v>
      </c>
      <c r="H5" s="20">
        <v>2001</v>
      </c>
      <c r="I5" s="20">
        <v>2002</v>
      </c>
      <c r="J5" s="20">
        <v>2003</v>
      </c>
      <c r="K5" s="116">
        <v>2004</v>
      </c>
      <c r="L5" s="116">
        <v>2005</v>
      </c>
      <c r="M5" s="116">
        <v>2006</v>
      </c>
      <c r="N5" s="116">
        <v>2007</v>
      </c>
      <c r="O5" s="116">
        <v>2008</v>
      </c>
      <c r="P5" s="116">
        <v>2009</v>
      </c>
      <c r="Q5" s="116">
        <v>2010</v>
      </c>
      <c r="R5" s="116">
        <v>2011</v>
      </c>
      <c r="S5" s="116">
        <v>2012</v>
      </c>
      <c r="T5" s="116">
        <v>2013</v>
      </c>
      <c r="U5" s="116">
        <v>2014</v>
      </c>
      <c r="V5" s="341">
        <v>2015</v>
      </c>
      <c r="W5" s="77">
        <v>2016</v>
      </c>
      <c r="X5" s="77">
        <v>2017</v>
      </c>
      <c r="Y5" s="77">
        <v>2018</v>
      </c>
      <c r="Z5" s="239">
        <v>2019</v>
      </c>
      <c r="AA5" s="20">
        <v>2020</v>
      </c>
      <c r="AB5" s="20">
        <v>2021</v>
      </c>
      <c r="AC5" s="20">
        <v>2022</v>
      </c>
      <c r="AD5" s="20">
        <v>2023</v>
      </c>
      <c r="AE5" s="20">
        <v>2023</v>
      </c>
      <c r="AF5" s="20">
        <v>2024</v>
      </c>
      <c r="AG5" s="20">
        <v>2025</v>
      </c>
      <c r="AH5" s="20">
        <v>2026</v>
      </c>
      <c r="AI5" s="73"/>
      <c r="AJ5" s="73"/>
      <c r="AK5" s="73"/>
      <c r="AL5" s="73"/>
      <c r="AN5" s="177" t="s">
        <v>298</v>
      </c>
    </row>
    <row r="8" spans="1:40" x14ac:dyDescent="0.2">
      <c r="A8" s="28" t="s">
        <v>69</v>
      </c>
    </row>
    <row r="9" spans="1:40" s="3" customFormat="1" x14ac:dyDescent="0.2">
      <c r="A9" s="3" t="s">
        <v>48</v>
      </c>
      <c r="B9" s="3" t="s">
        <v>259</v>
      </c>
      <c r="C9" s="3">
        <f>'RCA data'!C11</f>
        <v>380</v>
      </c>
      <c r="D9" s="3">
        <f>'RCA data'!D11</f>
        <v>347</v>
      </c>
      <c r="E9" s="3">
        <f>'RCA data'!E11</f>
        <v>273</v>
      </c>
      <c r="F9" s="3">
        <f>'RCA data'!F11</f>
        <v>286</v>
      </c>
      <c r="G9" s="3">
        <f>'RCA data'!G11</f>
        <v>239</v>
      </c>
      <c r="H9" s="3">
        <f>'RCA data'!H11</f>
        <v>306</v>
      </c>
      <c r="I9" s="3">
        <f>'RCA data'!I11</f>
        <v>361</v>
      </c>
      <c r="J9" s="3">
        <f>'RCA data'!J11</f>
        <v>474.67</v>
      </c>
      <c r="K9" s="121">
        <f>'RCA data'!K11</f>
        <v>157.977</v>
      </c>
      <c r="L9" s="121">
        <f>'RCA data'!L11</f>
        <v>188.56900000000002</v>
      </c>
      <c r="M9" s="121">
        <f>'RCA data'!M11</f>
        <v>167.649</v>
      </c>
      <c r="N9" s="121">
        <f>'RCA data'!N11</f>
        <v>207.655</v>
      </c>
      <c r="O9" s="121">
        <f>'RCA data'!O11</f>
        <v>245.40100000000001</v>
      </c>
      <c r="P9" s="121">
        <f>'RCA data'!P11</f>
        <v>227.29400000000001</v>
      </c>
      <c r="Q9" s="121">
        <f>'RCA data'!Q11</f>
        <v>295.99200000000002</v>
      </c>
      <c r="R9" s="121">
        <f>'RCA data'!R11</f>
        <v>383.58199999999999</v>
      </c>
      <c r="S9" s="121">
        <f>'RCA data'!S11</f>
        <v>391.83499999999998</v>
      </c>
      <c r="T9" s="121">
        <f>'RCA data'!T11</f>
        <v>380.09500000000003</v>
      </c>
      <c r="U9" s="121">
        <f>'RCA data'!U11</f>
        <v>344.35599999999999</v>
      </c>
      <c r="V9" s="344">
        <f>'RCA data'!V11</f>
        <v>329.99400000000003</v>
      </c>
      <c r="W9" s="79">
        <f>'RCA data'!W11</f>
        <v>309.17200000000003</v>
      </c>
      <c r="X9" s="79">
        <f>'RCA data'!X11</f>
        <v>310.16956500000003</v>
      </c>
      <c r="Y9" s="79">
        <f>'RCA data'!Y11</f>
        <v>311.20723923125001</v>
      </c>
      <c r="Z9" s="240">
        <f>'RCA data'!Z11</f>
        <v>312.28814035075783</v>
      </c>
      <c r="AN9" s="178"/>
    </row>
    <row r="10" spans="1:40" s="3" customFormat="1" x14ac:dyDescent="0.2">
      <c r="A10" s="3" t="s">
        <v>70</v>
      </c>
      <c r="B10" s="3" t="s">
        <v>259</v>
      </c>
      <c r="C10" s="3">
        <f>'RCA data'!D13</f>
        <v>31</v>
      </c>
      <c r="D10" s="3">
        <f>'RCA data'!E13</f>
        <v>21</v>
      </c>
      <c r="E10" s="3">
        <f>'RCA data'!F13</f>
        <v>25</v>
      </c>
      <c r="F10" s="3">
        <f>'RCA data'!G13</f>
        <v>22</v>
      </c>
      <c r="G10" s="3">
        <f>'RCA data'!H13</f>
        <v>18</v>
      </c>
      <c r="H10" s="3">
        <f>'RCA data'!I13</f>
        <v>32</v>
      </c>
      <c r="I10" s="3">
        <f>'RCA data'!J13</f>
        <v>32.648000000000003</v>
      </c>
      <c r="J10" s="3">
        <f>'RCA data'!K13</f>
        <v>9.0760000000000005</v>
      </c>
      <c r="K10" s="121">
        <f>'RCA data'!L13</f>
        <v>10.337</v>
      </c>
      <c r="L10" s="121">
        <f>'RCA data'!M13</f>
        <v>11.595000000000001</v>
      </c>
      <c r="M10" s="121">
        <f>'RCA data'!N13</f>
        <v>7.33</v>
      </c>
      <c r="N10" s="121">
        <f>'RCA data'!O13</f>
        <v>9.3049999999999997</v>
      </c>
      <c r="O10" s="121">
        <f>'RCA data'!P13</f>
        <v>10.839</v>
      </c>
      <c r="P10" s="121">
        <f>'RCA data'!Q13</f>
        <v>9.9450000000000003</v>
      </c>
      <c r="Q10" s="121">
        <f>'RCA data'!R13</f>
        <v>12.819000000000001</v>
      </c>
      <c r="R10" s="121">
        <f>'RCA data'!S13</f>
        <v>15.012</v>
      </c>
      <c r="S10" s="121">
        <f>'RCA data'!T13</f>
        <v>14.574999999999999</v>
      </c>
      <c r="T10" s="121">
        <f>'RCA data'!U13</f>
        <v>13.451000000000001</v>
      </c>
      <c r="U10" s="121">
        <f>'RCA data'!V13</f>
        <v>6.5359999999999996</v>
      </c>
      <c r="V10" s="344">
        <f>'RCA data'!W13</f>
        <v>8.2240000000000002</v>
      </c>
      <c r="W10" s="79">
        <f>'RCA data'!X13</f>
        <v>8.4295999999999989</v>
      </c>
      <c r="X10" s="79">
        <f>'RCA data'!Y13</f>
        <v>8.6403399999999984</v>
      </c>
      <c r="Y10" s="79">
        <f>'RCA data'!Z13</f>
        <v>8.8563484999999975</v>
      </c>
      <c r="Z10" s="240">
        <f>'RCA data'!AA13</f>
        <v>9.0777572124999963</v>
      </c>
      <c r="AN10" s="178"/>
    </row>
    <row r="11" spans="1:40" s="3" customFormat="1" x14ac:dyDescent="0.2">
      <c r="A11" s="3" t="s">
        <v>71</v>
      </c>
      <c r="B11" s="3" t="s">
        <v>259</v>
      </c>
      <c r="C11" s="3">
        <f>'RCA data'!D14</f>
        <v>0</v>
      </c>
      <c r="D11" s="3">
        <f>'RCA data'!E14</f>
        <v>0</v>
      </c>
      <c r="E11" s="3">
        <f>'RCA data'!F14</f>
        <v>0</v>
      </c>
      <c r="F11" s="3">
        <f>'RCA data'!G14</f>
        <v>0</v>
      </c>
      <c r="G11" s="3">
        <f>'RCA data'!H14</f>
        <v>0</v>
      </c>
      <c r="H11" s="3">
        <f>'RCA data'!I14</f>
        <v>39</v>
      </c>
      <c r="I11" s="3">
        <f>'RCA data'!J14</f>
        <v>0</v>
      </c>
      <c r="J11" s="3">
        <f>'RCA data'!K14</f>
        <v>0</v>
      </c>
      <c r="K11" s="121">
        <f>'RCA data'!L14</f>
        <v>0</v>
      </c>
      <c r="L11" s="121">
        <f>'RCA data'!M14</f>
        <v>0</v>
      </c>
      <c r="M11" s="121">
        <f>'RCA data'!N14</f>
        <v>0</v>
      </c>
      <c r="N11" s="121">
        <f>'RCA data'!O14</f>
        <v>0</v>
      </c>
      <c r="O11" s="121">
        <f>'RCA data'!P14</f>
        <v>0</v>
      </c>
      <c r="P11" s="121">
        <f>'RCA data'!Q14</f>
        <v>0</v>
      </c>
      <c r="Q11" s="121">
        <f>'RCA data'!R14</f>
        <v>0</v>
      </c>
      <c r="R11" s="121">
        <f>'RCA data'!S14</f>
        <v>0</v>
      </c>
      <c r="S11" s="121">
        <f>'RCA data'!T14</f>
        <v>0</v>
      </c>
      <c r="T11" s="121">
        <f>'RCA data'!U14</f>
        <v>0</v>
      </c>
      <c r="U11" s="121">
        <f>'RCA data'!V14</f>
        <v>0</v>
      </c>
      <c r="V11" s="344">
        <f>'RCA data'!W14</f>
        <v>0</v>
      </c>
      <c r="W11" s="79">
        <f>'RCA data'!X14</f>
        <v>0</v>
      </c>
      <c r="X11" s="79">
        <f>'RCA data'!Y14</f>
        <v>0</v>
      </c>
      <c r="Y11" s="79">
        <f>'RCA data'!Z14</f>
        <v>0</v>
      </c>
      <c r="Z11" s="240">
        <f>'RCA data'!AA14</f>
        <v>0</v>
      </c>
      <c r="AN11" s="178"/>
    </row>
    <row r="12" spans="1:40" s="3" customFormat="1" x14ac:dyDescent="0.2">
      <c r="A12" s="3" t="s">
        <v>72</v>
      </c>
      <c r="B12" s="3" t="s">
        <v>262</v>
      </c>
      <c r="C12" s="3">
        <f>'RCA interest'!C14</f>
        <v>16.314375000000002</v>
      </c>
      <c r="D12" s="3">
        <f>'RCA interest'!D14</f>
        <v>13.853125</v>
      </c>
      <c r="E12" s="3">
        <f>'RCA interest'!E14</f>
        <v>11.636249999999999</v>
      </c>
      <c r="F12" s="3">
        <f>'RCA interest'!F14</f>
        <v>10.023750000000001</v>
      </c>
      <c r="G12" s="3">
        <f>'RCA interest'!G14</f>
        <v>7.75</v>
      </c>
      <c r="H12" s="3">
        <f>'RCA interest'!H14</f>
        <v>10.7415</v>
      </c>
      <c r="I12" s="3">
        <f>'RCA interest'!I14</f>
        <v>11.112797499999999</v>
      </c>
      <c r="J12" s="3">
        <f>'RCA interest'!J14</f>
        <v>13.632789750000001</v>
      </c>
      <c r="K12" s="121">
        <f>'RCA interest'!K14</f>
        <v>4.3366431250000002</v>
      </c>
      <c r="L12" s="121">
        <f>'RCA interest'!L14</f>
        <v>4.4408170000000009</v>
      </c>
      <c r="M12" s="121">
        <f>'RCA interest'!M14</f>
        <v>3.9929789999999996</v>
      </c>
      <c r="N12" s="121">
        <f>'RCA interest'!N14</f>
        <v>4.8987052499999999</v>
      </c>
      <c r="O12" s="121">
        <f>'RCA interest'!O14</f>
        <v>4.9792900000000007</v>
      </c>
      <c r="P12" s="121">
        <f>'RCA interest'!P14</f>
        <v>4.6010800000000005</v>
      </c>
      <c r="Q12" s="121">
        <f>'RCA interest'!Q14</f>
        <v>6.8999195000000002</v>
      </c>
      <c r="R12" s="121">
        <f>'RCA interest'!R14</f>
        <v>7.8596223749999989</v>
      </c>
      <c r="S12" s="121">
        <f>'RCA interest'!S14</f>
        <v>6.7335725000000011</v>
      </c>
      <c r="T12" s="121">
        <f>'RCA interest'!T14</f>
        <v>6.5199250000000006</v>
      </c>
      <c r="U12" s="121">
        <f>'RCA interest'!U14</f>
        <v>7.2052364999999998</v>
      </c>
      <c r="V12" s="344">
        <f>'RCA interest'!V14</f>
        <v>5.493497500000001</v>
      </c>
      <c r="W12" s="79">
        <f>'RCA interest'!W14</f>
        <v>4.9913298500000005</v>
      </c>
      <c r="X12" s="79">
        <f>'RCA interest'!X14</f>
        <v>5.0077344590000008</v>
      </c>
      <c r="Y12" s="79">
        <f>'RCA interest'!Y14</f>
        <v>5.0248108782990633</v>
      </c>
      <c r="Z12" s="240">
        <f>'RCA interest'!Z14</f>
        <v>5.0426104984185596</v>
      </c>
      <c r="AN12" s="178"/>
    </row>
    <row r="13" spans="1:40" s="3" customFormat="1" x14ac:dyDescent="0.2">
      <c r="A13" s="3" t="s">
        <v>74</v>
      </c>
      <c r="B13" s="3" t="s">
        <v>259</v>
      </c>
      <c r="C13" s="6">
        <f>'RCA data'!D16</f>
        <v>0</v>
      </c>
      <c r="D13" s="6">
        <f>'RCA data'!E16</f>
        <v>0</v>
      </c>
      <c r="E13" s="6">
        <f>'RCA data'!F16</f>
        <v>0</v>
      </c>
      <c r="F13" s="6">
        <f>'RCA data'!G16</f>
        <v>0</v>
      </c>
      <c r="G13" s="6">
        <f>'RCA data'!H16</f>
        <v>0</v>
      </c>
      <c r="H13" s="6">
        <f>'RCA data'!I16</f>
        <v>-1</v>
      </c>
      <c r="I13" s="6">
        <f>'RCA data'!J16</f>
        <v>-1.238</v>
      </c>
      <c r="J13" s="6">
        <f>'RCA data'!K16</f>
        <v>-1.7290000000000001</v>
      </c>
      <c r="K13" s="125">
        <f>'RCA data'!L16</f>
        <v>-2.056</v>
      </c>
      <c r="L13" s="125">
        <f>'RCA data'!M16</f>
        <v>-2.5750000000000002</v>
      </c>
      <c r="M13" s="125">
        <f>'RCA data'!N16</f>
        <v>-2.8</v>
      </c>
      <c r="N13" s="125">
        <f>'RCA data'!O16</f>
        <v>-3.2210000000000001</v>
      </c>
      <c r="O13" s="125">
        <f>'RCA data'!P16</f>
        <v>-3.7120000000000002</v>
      </c>
      <c r="P13" s="125">
        <f>'RCA data'!Q16</f>
        <v>-4.4249999999999998</v>
      </c>
      <c r="Q13" s="125">
        <f>'RCA data'!R16</f>
        <v>-4.8099999999999996</v>
      </c>
      <c r="R13" s="125">
        <f>'RCA data'!S16</f>
        <v>-5.9169999999999998</v>
      </c>
      <c r="S13" s="125">
        <f>'RCA data'!T16</f>
        <v>-6.06</v>
      </c>
      <c r="T13" s="125">
        <f>'RCA data'!U16</f>
        <v>-6.5910000000000002</v>
      </c>
      <c r="U13" s="125">
        <f>'RCA data'!V16</f>
        <v>-9.0350000000000001</v>
      </c>
      <c r="V13" s="345">
        <f>'RCA data'!W16</f>
        <v>-12.272</v>
      </c>
      <c r="W13" s="81">
        <f>'RCA data'!X16</f>
        <v>-12.456079999999998</v>
      </c>
      <c r="X13" s="81">
        <f>'RCA data'!Y16</f>
        <v>-12.642921199999996</v>
      </c>
      <c r="Y13" s="81">
        <f>'RCA data'!Z16</f>
        <v>-12.832565017999995</v>
      </c>
      <c r="Z13" s="241">
        <f>'RCA data'!AA16</f>
        <v>-13.025053493269994</v>
      </c>
      <c r="AN13" s="178"/>
    </row>
    <row r="14" spans="1:40" s="8" customFormat="1" x14ac:dyDescent="0.2">
      <c r="A14" s="8" t="s">
        <v>297</v>
      </c>
      <c r="B14" s="8" t="s">
        <v>31</v>
      </c>
      <c r="C14" s="8">
        <f t="shared" ref="C14:J14" si="0">SUM(C9:C13)</f>
        <v>427.31437499999998</v>
      </c>
      <c r="D14" s="8">
        <f t="shared" si="0"/>
        <v>381.85312499999998</v>
      </c>
      <c r="E14" s="8">
        <f t="shared" si="0"/>
        <v>309.63625000000002</v>
      </c>
      <c r="F14" s="8">
        <f t="shared" si="0"/>
        <v>318.02375000000001</v>
      </c>
      <c r="G14" s="8">
        <f t="shared" si="0"/>
        <v>264.75</v>
      </c>
      <c r="H14" s="8">
        <f t="shared" si="0"/>
        <v>386.74149999999997</v>
      </c>
      <c r="I14" s="8">
        <f t="shared" si="0"/>
        <v>403.52279750000002</v>
      </c>
      <c r="J14" s="8">
        <f t="shared" si="0"/>
        <v>495.64978975000002</v>
      </c>
      <c r="K14" s="119">
        <f t="shared" ref="K14:X14" si="1">SUM(K9:K13)</f>
        <v>170.59464312499998</v>
      </c>
      <c r="L14" s="119">
        <f t="shared" si="1"/>
        <v>202.02981700000004</v>
      </c>
      <c r="M14" s="119">
        <f t="shared" si="1"/>
        <v>176.17197899999999</v>
      </c>
      <c r="N14" s="119">
        <f t="shared" si="1"/>
        <v>218.63770525000001</v>
      </c>
      <c r="O14" s="119">
        <f t="shared" si="1"/>
        <v>257.50729000000001</v>
      </c>
      <c r="P14" s="119">
        <f t="shared" si="1"/>
        <v>237.41507999999999</v>
      </c>
      <c r="Q14" s="119">
        <f t="shared" si="1"/>
        <v>310.90091950000004</v>
      </c>
      <c r="R14" s="119">
        <f t="shared" si="1"/>
        <v>400.53662237500004</v>
      </c>
      <c r="S14" s="119">
        <f t="shared" si="1"/>
        <v>407.08357249999995</v>
      </c>
      <c r="T14" s="119">
        <f t="shared" si="1"/>
        <v>393.47492500000004</v>
      </c>
      <c r="U14" s="119">
        <f t="shared" si="1"/>
        <v>349.06223649999998</v>
      </c>
      <c r="V14" s="342">
        <f t="shared" si="1"/>
        <v>331.43949750000002</v>
      </c>
      <c r="W14" s="78">
        <f t="shared" si="1"/>
        <v>310.13684985000003</v>
      </c>
      <c r="X14" s="78">
        <f t="shared" si="1"/>
        <v>311.17471825900003</v>
      </c>
      <c r="Y14" s="78">
        <f t="shared" ref="Y14:Z14" si="2">SUM(Y9:Y13)</f>
        <v>312.25583359154911</v>
      </c>
      <c r="Z14" s="242">
        <f t="shared" si="2"/>
        <v>313.38345456840642</v>
      </c>
      <c r="AN14" s="179"/>
    </row>
    <row r="15" spans="1:40" s="3" customFormat="1" x14ac:dyDescent="0.2">
      <c r="A15" s="3" t="s">
        <v>75</v>
      </c>
      <c r="B15" s="3" t="s">
        <v>259</v>
      </c>
      <c r="C15" s="6">
        <f>'RCA data'!D11</f>
        <v>347</v>
      </c>
      <c r="D15" s="6">
        <f>'RCA data'!E11</f>
        <v>273</v>
      </c>
      <c r="E15" s="6">
        <f>'RCA data'!F11</f>
        <v>286</v>
      </c>
      <c r="F15" s="6">
        <f>'RCA data'!G11</f>
        <v>239</v>
      </c>
      <c r="G15" s="6">
        <f>'RCA data'!H11</f>
        <v>306</v>
      </c>
      <c r="H15" s="6">
        <f>'RCA data'!I11</f>
        <v>361</v>
      </c>
      <c r="I15" s="6">
        <f>'RCA data'!J11</f>
        <v>474.67</v>
      </c>
      <c r="J15" s="6">
        <f>'RCA data'!K11</f>
        <v>157.977</v>
      </c>
      <c r="K15" s="125">
        <f>'RCA data'!L11</f>
        <v>188.56900000000002</v>
      </c>
      <c r="L15" s="125">
        <f>'RCA data'!M11</f>
        <v>167.649</v>
      </c>
      <c r="M15" s="125">
        <f>'RCA data'!N11</f>
        <v>207.655</v>
      </c>
      <c r="N15" s="125">
        <f>'RCA data'!O11</f>
        <v>245.40100000000001</v>
      </c>
      <c r="O15" s="125">
        <f>'RCA data'!P11</f>
        <v>227.29400000000001</v>
      </c>
      <c r="P15" s="125">
        <f>'RCA data'!Q11</f>
        <v>295.99200000000002</v>
      </c>
      <c r="Q15" s="125">
        <f>'RCA data'!R11</f>
        <v>383.58199999999999</v>
      </c>
      <c r="R15" s="125">
        <f>'RCA data'!S11</f>
        <v>391.83499999999998</v>
      </c>
      <c r="S15" s="125">
        <f>'RCA data'!T11</f>
        <v>380.09500000000003</v>
      </c>
      <c r="T15" s="125">
        <f>'RCA data'!U11</f>
        <v>344.35599999999999</v>
      </c>
      <c r="U15" s="125">
        <f>'RCA data'!V11</f>
        <v>329.99400000000003</v>
      </c>
      <c r="V15" s="345">
        <f>'RCA data'!W11</f>
        <v>309.17200000000003</v>
      </c>
      <c r="W15" s="81">
        <f>'RCA data'!X11</f>
        <v>310.16956500000003</v>
      </c>
      <c r="X15" s="81">
        <f>'RCA data'!Y11</f>
        <v>311.20723923125001</v>
      </c>
      <c r="Y15" s="81">
        <f>'RCA data'!Z11</f>
        <v>312.28814035075783</v>
      </c>
      <c r="Z15" s="241">
        <f>'RCA data'!AA11</f>
        <v>313.41552635068763</v>
      </c>
      <c r="AN15" s="178"/>
    </row>
    <row r="16" spans="1:40" s="25" customFormat="1" x14ac:dyDescent="0.2">
      <c r="A16" s="25" t="s">
        <v>76</v>
      </c>
      <c r="B16" s="8" t="s">
        <v>31</v>
      </c>
      <c r="C16" s="26">
        <f t="shared" ref="C16:J16" si="3">C14-C15</f>
        <v>80.314374999999984</v>
      </c>
      <c r="D16" s="26">
        <f t="shared" si="3"/>
        <v>108.85312499999998</v>
      </c>
      <c r="E16" s="26">
        <f t="shared" si="3"/>
        <v>23.636250000000018</v>
      </c>
      <c r="F16" s="26">
        <f t="shared" si="3"/>
        <v>79.023750000000007</v>
      </c>
      <c r="G16" s="26">
        <f t="shared" si="3"/>
        <v>-41.25</v>
      </c>
      <c r="H16" s="26">
        <f t="shared" si="3"/>
        <v>25.741499999999974</v>
      </c>
      <c r="I16" s="26">
        <f t="shared" si="3"/>
        <v>-71.147202499999992</v>
      </c>
      <c r="J16" s="26">
        <f t="shared" si="3"/>
        <v>337.67278974999999</v>
      </c>
      <c r="K16" s="129">
        <f t="shared" ref="K16:X16" si="4">K14-K15</f>
        <v>-17.974356875000041</v>
      </c>
      <c r="L16" s="129">
        <f t="shared" si="4"/>
        <v>34.380817000000036</v>
      </c>
      <c r="M16" s="129">
        <f t="shared" si="4"/>
        <v>-31.483021000000008</v>
      </c>
      <c r="N16" s="129">
        <f t="shared" si="4"/>
        <v>-26.76329475</v>
      </c>
      <c r="O16" s="129">
        <f t="shared" si="4"/>
        <v>30.213290000000001</v>
      </c>
      <c r="P16" s="129">
        <f t="shared" si="4"/>
        <v>-58.57692000000003</v>
      </c>
      <c r="Q16" s="129">
        <f t="shared" si="4"/>
        <v>-72.68108049999995</v>
      </c>
      <c r="R16" s="129">
        <f t="shared" si="4"/>
        <v>8.7016223750000563</v>
      </c>
      <c r="S16" s="129">
        <f t="shared" si="4"/>
        <v>26.988572499999918</v>
      </c>
      <c r="T16" s="129">
        <f t="shared" si="4"/>
        <v>49.118925000000047</v>
      </c>
      <c r="U16" s="129">
        <f t="shared" si="4"/>
        <v>19.068236499999955</v>
      </c>
      <c r="V16" s="346">
        <f t="shared" si="4"/>
        <v>22.26749749999999</v>
      </c>
      <c r="W16" s="83">
        <f t="shared" si="4"/>
        <v>-3.2715150000001358E-2</v>
      </c>
      <c r="X16" s="83">
        <f t="shared" si="4"/>
        <v>-3.2520972249983515E-2</v>
      </c>
      <c r="Y16" s="83">
        <f t="shared" ref="Y16:Z16" si="5">Y14-Y15</f>
        <v>-3.2306759208722724E-2</v>
      </c>
      <c r="Z16" s="244">
        <f t="shared" si="5"/>
        <v>-3.2071782281207106E-2</v>
      </c>
      <c r="AN16" s="185"/>
    </row>
    <row r="18" spans="1:40" x14ac:dyDescent="0.2">
      <c r="A18" t="s">
        <v>89</v>
      </c>
      <c r="B18" s="3" t="s">
        <v>259</v>
      </c>
      <c r="C18" s="11">
        <f>'RCA data'!D31</f>
        <v>14</v>
      </c>
      <c r="D18" s="11">
        <f>'RCA data'!E31</f>
        <v>13</v>
      </c>
      <c r="E18" s="11">
        <f>'RCA data'!F31</f>
        <v>13</v>
      </c>
      <c r="F18" s="11">
        <f>'RCA data'!G31</f>
        <v>14</v>
      </c>
      <c r="G18" s="11">
        <f>'RCA data'!H31</f>
        <v>14</v>
      </c>
      <c r="H18" s="11">
        <f>'RCA data'!I31</f>
        <v>13</v>
      </c>
      <c r="I18" s="11">
        <f>'RCA data'!J31</f>
        <v>13</v>
      </c>
      <c r="J18" s="11">
        <f>'RCA data'!K31</f>
        <v>13</v>
      </c>
      <c r="K18" s="134">
        <f>'RCA data'!L31</f>
        <v>13</v>
      </c>
      <c r="L18" s="134">
        <f>'RCA data'!M31</f>
        <v>13</v>
      </c>
      <c r="M18" s="134">
        <f>'RCA data'!N31</f>
        <v>13.6</v>
      </c>
      <c r="N18" s="134">
        <f>'RCA data'!O31</f>
        <v>13.8</v>
      </c>
      <c r="O18" s="134">
        <f>'RCA data'!P31</f>
        <v>14</v>
      </c>
      <c r="P18" s="134">
        <f>'RCA data'!Q31</f>
        <v>14</v>
      </c>
      <c r="Q18" s="134">
        <f>'RCA data'!R31</f>
        <v>13.9</v>
      </c>
      <c r="R18" s="134">
        <f>'RCA data'!S31</f>
        <v>14.1</v>
      </c>
      <c r="S18" s="134">
        <f>'RCA data'!T31</f>
        <v>14.6</v>
      </c>
      <c r="T18" s="134">
        <f>'RCA data'!U31</f>
        <v>14.5</v>
      </c>
      <c r="U18" s="134">
        <f>'RCA data'!V31</f>
        <v>14.4</v>
      </c>
      <c r="V18" s="351">
        <f>'RCA data'!W31</f>
        <v>15.3</v>
      </c>
      <c r="W18" s="89">
        <f>'RCA data'!X31</f>
        <v>15.3</v>
      </c>
      <c r="X18" s="89">
        <f>'RCA data'!Y31</f>
        <v>15.3</v>
      </c>
      <c r="Y18" s="89">
        <f>'RCA data'!Z31</f>
        <v>15.3</v>
      </c>
      <c r="Z18" s="250">
        <f>'RCA data'!AA31</f>
        <v>15.3</v>
      </c>
    </row>
    <row r="19" spans="1:40" s="25" customFormat="1" x14ac:dyDescent="0.2">
      <c r="A19" s="25" t="s">
        <v>104</v>
      </c>
      <c r="B19" s="8" t="s">
        <v>31</v>
      </c>
      <c r="C19" s="26">
        <f t="shared" ref="C19:J19" si="6">C16/C18</f>
        <v>5.73674107142857</v>
      </c>
      <c r="D19" s="26">
        <f t="shared" si="6"/>
        <v>8.3733173076923055</v>
      </c>
      <c r="E19" s="26">
        <f t="shared" si="6"/>
        <v>1.8181730769230784</v>
      </c>
      <c r="F19" s="26">
        <f t="shared" si="6"/>
        <v>5.6445535714285722</v>
      </c>
      <c r="G19" s="26">
        <f t="shared" si="6"/>
        <v>-2.9464285714285716</v>
      </c>
      <c r="H19" s="26">
        <f t="shared" si="6"/>
        <v>1.9801153846153825</v>
      </c>
      <c r="I19" s="26">
        <f t="shared" si="6"/>
        <v>-5.47286173076923</v>
      </c>
      <c r="J19" s="26">
        <f t="shared" si="6"/>
        <v>25.974829980769229</v>
      </c>
      <c r="K19" s="129">
        <f t="shared" ref="K19:X19" si="7">K16/K18</f>
        <v>-1.3826428365384646</v>
      </c>
      <c r="L19" s="129">
        <f t="shared" si="7"/>
        <v>2.6446782307692334</v>
      </c>
      <c r="M19" s="129">
        <f t="shared" si="7"/>
        <v>-2.3149280147058828</v>
      </c>
      <c r="N19" s="129">
        <f t="shared" si="7"/>
        <v>-1.9393691847826087</v>
      </c>
      <c r="O19" s="129">
        <f t="shared" si="7"/>
        <v>2.1580921428571429</v>
      </c>
      <c r="P19" s="129">
        <f t="shared" si="7"/>
        <v>-4.1840657142857163</v>
      </c>
      <c r="Q19" s="129">
        <f t="shared" si="7"/>
        <v>-5.2288547122302118</v>
      </c>
      <c r="R19" s="129">
        <f t="shared" si="7"/>
        <v>0.61713633865248629</v>
      </c>
      <c r="S19" s="129">
        <f t="shared" si="7"/>
        <v>1.8485323630136932</v>
      </c>
      <c r="T19" s="129">
        <f t="shared" si="7"/>
        <v>3.3875120689655205</v>
      </c>
      <c r="U19" s="129">
        <f t="shared" si="7"/>
        <v>1.3241830902777747</v>
      </c>
      <c r="V19" s="346">
        <f t="shared" si="7"/>
        <v>1.4553919934640516</v>
      </c>
      <c r="W19" s="83">
        <f t="shared" si="7"/>
        <v>-2.1382450980393045E-3</v>
      </c>
      <c r="X19" s="83">
        <f t="shared" si="7"/>
        <v>-2.1255537418289876E-3</v>
      </c>
      <c r="Y19" s="83">
        <f t="shared" ref="Y19:Z19" si="8">Y16/Y18</f>
        <v>-2.1115528894590013E-3</v>
      </c>
      <c r="Z19" s="244">
        <f t="shared" si="8"/>
        <v>-2.0961949203403335E-3</v>
      </c>
      <c r="AN19" s="185"/>
    </row>
    <row r="20" spans="1:40" s="25" customFormat="1" x14ac:dyDescent="0.2">
      <c r="B20" s="8"/>
      <c r="C20" s="39"/>
      <c r="D20" s="39"/>
      <c r="E20" s="39"/>
      <c r="F20" s="39"/>
      <c r="G20" s="39"/>
      <c r="H20" s="39"/>
      <c r="I20" s="39"/>
      <c r="J20" s="39"/>
      <c r="K20" s="135"/>
      <c r="L20" s="135"/>
      <c r="M20" s="135"/>
      <c r="N20" s="135"/>
      <c r="O20" s="135"/>
      <c r="P20" s="135"/>
      <c r="Q20" s="135"/>
      <c r="R20" s="135"/>
      <c r="S20" s="135"/>
      <c r="T20" s="135"/>
      <c r="U20" s="135"/>
      <c r="V20" s="353"/>
      <c r="W20" s="90"/>
      <c r="X20" s="90"/>
      <c r="Y20" s="90"/>
      <c r="Z20" s="252"/>
      <c r="AN20" s="185"/>
    </row>
    <row r="21" spans="1:40" s="25" customFormat="1" ht="15" x14ac:dyDescent="0.35">
      <c r="A21" s="40" t="s">
        <v>263</v>
      </c>
      <c r="B21" s="8" t="s">
        <v>31</v>
      </c>
      <c r="C21" s="39">
        <f>SUM($C$16:C16)</f>
        <v>80.314374999999984</v>
      </c>
      <c r="D21" s="39">
        <f>SUM($C$16:D16)</f>
        <v>189.16749999999996</v>
      </c>
      <c r="E21" s="39">
        <f>SUM($C$16:E16)</f>
        <v>212.80374999999998</v>
      </c>
      <c r="F21" s="39">
        <f>SUM($C$16:F16)</f>
        <v>291.82749999999999</v>
      </c>
      <c r="G21" s="39">
        <f>SUM($C$16:G16)</f>
        <v>250.57749999999999</v>
      </c>
      <c r="H21" s="39">
        <f>SUM($C$16:H16)</f>
        <v>276.31899999999996</v>
      </c>
      <c r="I21" s="39">
        <f>SUM($C$16:I16)</f>
        <v>205.17179749999997</v>
      </c>
      <c r="J21" s="39">
        <f>SUM($C$16:J16)</f>
        <v>542.8445872499999</v>
      </c>
      <c r="K21" s="135">
        <f>SUM($C$16:K16)</f>
        <v>524.87023037499989</v>
      </c>
      <c r="L21" s="135">
        <f>SUM($C$16:L16)</f>
        <v>559.25104737499987</v>
      </c>
      <c r="M21" s="135">
        <f>SUM($C$16:M16)</f>
        <v>527.76802637499986</v>
      </c>
      <c r="N21" s="135">
        <f>SUM($C$16:N16)</f>
        <v>501.00473162499986</v>
      </c>
      <c r="O21" s="135">
        <f>SUM($C$16:O16)</f>
        <v>531.21802162499989</v>
      </c>
      <c r="P21" s="135">
        <f>SUM($C$16:P16)</f>
        <v>472.64110162499986</v>
      </c>
      <c r="Q21" s="135">
        <f>SUM($C$16:Q16)</f>
        <v>399.96002112499991</v>
      </c>
      <c r="R21" s="135">
        <f>SUM($C$16:R16)</f>
        <v>408.66164349999997</v>
      </c>
      <c r="S21" s="135">
        <f>SUM($C$16:S16)</f>
        <v>435.65021599999989</v>
      </c>
      <c r="T21" s="135">
        <f>SUM($C$16:T16)</f>
        <v>484.76914099999993</v>
      </c>
      <c r="U21" s="135">
        <f>SUM($C$16:U16)</f>
        <v>503.83737749999989</v>
      </c>
      <c r="V21" s="353">
        <f>SUM($C$16:V16)</f>
        <v>526.10487499999988</v>
      </c>
      <c r="W21" s="90">
        <f>SUM($C$16:W16)</f>
        <v>526.07215984999993</v>
      </c>
      <c r="X21" s="90">
        <f>SUM($C$16:X16)</f>
        <v>526.03963887774989</v>
      </c>
      <c r="Y21" s="90">
        <f>SUM($C$16:Y16)</f>
        <v>526.00733211854117</v>
      </c>
      <c r="Z21" s="252">
        <f>SUM($C$16:Z16)</f>
        <v>525.97526033625991</v>
      </c>
      <c r="AN21" s="185"/>
    </row>
    <row r="22" spans="1:40" x14ac:dyDescent="0.2">
      <c r="A22" t="s">
        <v>88</v>
      </c>
    </row>
    <row r="23" spans="1:40" x14ac:dyDescent="0.2">
      <c r="A23" s="28" t="s">
        <v>264</v>
      </c>
      <c r="AM23" t="s">
        <v>362</v>
      </c>
    </row>
    <row r="24" spans="1:40" x14ac:dyDescent="0.2">
      <c r="A24" t="s">
        <v>96</v>
      </c>
      <c r="B24" t="s">
        <v>66</v>
      </c>
      <c r="C24" s="22">
        <f>ROUND(+$C19,0)</f>
        <v>6</v>
      </c>
      <c r="D24" s="22">
        <f t="shared" ref="D24:L24" si="9">ROUND(+$C19,0)</f>
        <v>6</v>
      </c>
      <c r="E24" s="22">
        <f t="shared" si="9"/>
        <v>6</v>
      </c>
      <c r="F24" s="22">
        <f t="shared" si="9"/>
        <v>6</v>
      </c>
      <c r="G24" s="22">
        <f t="shared" si="9"/>
        <v>6</v>
      </c>
      <c r="H24" s="22">
        <f t="shared" si="9"/>
        <v>6</v>
      </c>
      <c r="I24" s="22">
        <f t="shared" si="9"/>
        <v>6</v>
      </c>
      <c r="J24" s="22">
        <f t="shared" si="9"/>
        <v>6</v>
      </c>
      <c r="K24" s="106">
        <f t="shared" si="9"/>
        <v>6</v>
      </c>
      <c r="L24" s="106">
        <f t="shared" si="9"/>
        <v>6</v>
      </c>
      <c r="M24" s="106">
        <f>ROUND(+$C19,0)-1</f>
        <v>5</v>
      </c>
      <c r="N24" s="106">
        <f>ROUND(+$C19,0)-1</f>
        <v>5</v>
      </c>
      <c r="O24" s="106">
        <f>ROUND(+$C19,0)-1</f>
        <v>5</v>
      </c>
      <c r="P24" s="106">
        <f>ROUND(+$C19,0)-1</f>
        <v>5</v>
      </c>
      <c r="AM24" s="22">
        <f>SUM(C24:AE24)</f>
        <v>80</v>
      </c>
      <c r="AN24" s="188">
        <f>ROUND(C$16,0)-ROUND($AM24,0)</f>
        <v>0</v>
      </c>
    </row>
    <row r="25" spans="1:40" x14ac:dyDescent="0.2">
      <c r="A25" t="s">
        <v>97</v>
      </c>
      <c r="B25" t="s">
        <v>66</v>
      </c>
      <c r="D25" s="22">
        <f>ROUND(+$D19,0)</f>
        <v>8</v>
      </c>
      <c r="E25" s="22">
        <f t="shared" ref="E25:J25" si="10">ROUND(+$D19,0)</f>
        <v>8</v>
      </c>
      <c r="F25" s="22">
        <f t="shared" si="10"/>
        <v>8</v>
      </c>
      <c r="G25" s="22">
        <f t="shared" si="10"/>
        <v>8</v>
      </c>
      <c r="H25" s="22">
        <f t="shared" si="10"/>
        <v>8</v>
      </c>
      <c r="I25" s="22">
        <f t="shared" si="10"/>
        <v>8</v>
      </c>
      <c r="J25" s="22">
        <f t="shared" si="10"/>
        <v>8</v>
      </c>
      <c r="K25" s="106">
        <f>ROUND(+$D19,0)</f>
        <v>8</v>
      </c>
      <c r="L25" s="106">
        <f>ROUND(+$D19,0)+1</f>
        <v>9</v>
      </c>
      <c r="M25" s="106">
        <f>ROUND(+$D19,0)+1</f>
        <v>9</v>
      </c>
      <c r="N25" s="106">
        <f>ROUND(+$D19,0)+1</f>
        <v>9</v>
      </c>
      <c r="O25" s="106">
        <f>ROUND(+$D19,0)+1</f>
        <v>9</v>
      </c>
      <c r="P25" s="106">
        <f>ROUND(+$D19,0)+1</f>
        <v>9</v>
      </c>
      <c r="AM25" s="22">
        <f t="shared" ref="AM25:AM38" si="11">SUM(C25:AE25)</f>
        <v>109</v>
      </c>
      <c r="AN25" s="188">
        <f>ROUND(D$16,0)-ROUND($AM25,0)</f>
        <v>0</v>
      </c>
    </row>
    <row r="26" spans="1:40" x14ac:dyDescent="0.2">
      <c r="A26" t="s">
        <v>98</v>
      </c>
      <c r="B26" t="s">
        <v>66</v>
      </c>
      <c r="E26" s="22">
        <f>ROUND(+$E19,0)</f>
        <v>2</v>
      </c>
      <c r="F26" s="22">
        <f t="shared" ref="F26:O26" si="12">ROUND(+$E19,0)</f>
        <v>2</v>
      </c>
      <c r="G26" s="22">
        <f t="shared" si="12"/>
        <v>2</v>
      </c>
      <c r="H26" s="22">
        <f t="shared" si="12"/>
        <v>2</v>
      </c>
      <c r="I26" s="22">
        <f t="shared" si="12"/>
        <v>2</v>
      </c>
      <c r="J26" s="22">
        <f t="shared" si="12"/>
        <v>2</v>
      </c>
      <c r="K26" s="106">
        <f t="shared" si="12"/>
        <v>2</v>
      </c>
      <c r="L26" s="106">
        <f t="shared" si="12"/>
        <v>2</v>
      </c>
      <c r="M26" s="106">
        <f t="shared" si="12"/>
        <v>2</v>
      </c>
      <c r="N26" s="106">
        <f t="shared" si="12"/>
        <v>2</v>
      </c>
      <c r="O26" s="106">
        <f t="shared" si="12"/>
        <v>2</v>
      </c>
      <c r="P26" s="106">
        <f>ROUND(+$E19,0)-1</f>
        <v>1</v>
      </c>
      <c r="Q26" s="106">
        <f>ROUND(+$E19,0)-1</f>
        <v>1</v>
      </c>
      <c r="AM26" s="22">
        <f t="shared" si="11"/>
        <v>24</v>
      </c>
      <c r="AN26" s="188">
        <f>ROUND(E$16,0)-ROUND($AM26,0)</f>
        <v>0</v>
      </c>
    </row>
    <row r="27" spans="1:40" x14ac:dyDescent="0.2">
      <c r="A27" t="s">
        <v>99</v>
      </c>
      <c r="B27" t="s">
        <v>66</v>
      </c>
      <c r="F27" s="22">
        <f>ROUND(+$F19,0)</f>
        <v>6</v>
      </c>
      <c r="G27" s="22">
        <f t="shared" ref="G27:N27" si="13">ROUND(+$F19,0)</f>
        <v>6</v>
      </c>
      <c r="H27" s="22">
        <f t="shared" si="13"/>
        <v>6</v>
      </c>
      <c r="I27" s="22">
        <f t="shared" si="13"/>
        <v>6</v>
      </c>
      <c r="J27" s="22">
        <f t="shared" si="13"/>
        <v>6</v>
      </c>
      <c r="K27" s="106">
        <f t="shared" si="13"/>
        <v>6</v>
      </c>
      <c r="L27" s="106">
        <f t="shared" si="13"/>
        <v>6</v>
      </c>
      <c r="M27" s="106">
        <f t="shared" si="13"/>
        <v>6</v>
      </c>
      <c r="N27" s="106">
        <f t="shared" si="13"/>
        <v>6</v>
      </c>
      <c r="O27" s="106">
        <f>ROUND(+$F19,0)-1</f>
        <v>5</v>
      </c>
      <c r="P27" s="106">
        <f>ROUND(+$F19,0)-1</f>
        <v>5</v>
      </c>
      <c r="Q27" s="106">
        <f>ROUND(+$F19,0)-1</f>
        <v>5</v>
      </c>
      <c r="R27" s="106">
        <f>ROUND(+$F19,0)-1</f>
        <v>5</v>
      </c>
      <c r="S27" s="106">
        <f>ROUND(+$F19,0)-1</f>
        <v>5</v>
      </c>
      <c r="T27" s="106"/>
      <c r="AM27" s="22">
        <f t="shared" si="11"/>
        <v>79</v>
      </c>
      <c r="AN27" s="188">
        <f>ROUND(F$16,0)-ROUND($AM27,0)</f>
        <v>0</v>
      </c>
    </row>
    <row r="28" spans="1:40" x14ac:dyDescent="0.2">
      <c r="A28" t="s">
        <v>100</v>
      </c>
      <c r="B28" t="s">
        <v>66</v>
      </c>
      <c r="G28" s="22">
        <f>ROUND(+$G19,0)</f>
        <v>-3</v>
      </c>
      <c r="H28" s="22">
        <f t="shared" ref="H28:N28" si="14">ROUND(+$G19,0)</f>
        <v>-3</v>
      </c>
      <c r="I28" s="22">
        <f t="shared" si="14"/>
        <v>-3</v>
      </c>
      <c r="J28" s="22">
        <f t="shared" si="14"/>
        <v>-3</v>
      </c>
      <c r="K28" s="106">
        <f t="shared" si="14"/>
        <v>-3</v>
      </c>
      <c r="L28" s="106">
        <f t="shared" si="14"/>
        <v>-3</v>
      </c>
      <c r="M28" s="106">
        <f t="shared" si="14"/>
        <v>-3</v>
      </c>
      <c r="N28" s="106">
        <f t="shared" si="14"/>
        <v>-3</v>
      </c>
      <c r="O28" s="106">
        <f>ROUND(+$G19,0)</f>
        <v>-3</v>
      </c>
      <c r="P28" s="106">
        <f>ROUND(+$G19,0)</f>
        <v>-3</v>
      </c>
      <c r="Q28" s="106">
        <f>ROUND(+$G19,0)</f>
        <v>-3</v>
      </c>
      <c r="R28" s="106">
        <f>ROUND(+$G19,0)</f>
        <v>-3</v>
      </c>
      <c r="S28" s="106">
        <f>ROUND(+$G19,0)</f>
        <v>-3</v>
      </c>
      <c r="T28" s="106">
        <f>ROUND(+$G19,0)+1</f>
        <v>-2</v>
      </c>
      <c r="AM28" s="22">
        <f t="shared" si="11"/>
        <v>-41</v>
      </c>
      <c r="AN28" s="188">
        <f>ROUND(G$16,0)-ROUND($AM28,0)</f>
        <v>0</v>
      </c>
    </row>
    <row r="29" spans="1:40" x14ac:dyDescent="0.2">
      <c r="A29" t="s">
        <v>101</v>
      </c>
      <c r="B29" t="s">
        <v>66</v>
      </c>
      <c r="H29" s="22">
        <f>ROUND(+$H19,0)</f>
        <v>2</v>
      </c>
      <c r="I29" s="22">
        <f t="shared" ref="I29:S29" si="15">ROUND(+$H19,0)</f>
        <v>2</v>
      </c>
      <c r="J29" s="22">
        <f t="shared" si="15"/>
        <v>2</v>
      </c>
      <c r="K29" s="106">
        <f t="shared" si="15"/>
        <v>2</v>
      </c>
      <c r="L29" s="106">
        <f t="shared" si="15"/>
        <v>2</v>
      </c>
      <c r="M29" s="106">
        <f t="shared" si="15"/>
        <v>2</v>
      </c>
      <c r="N29" s="106">
        <f t="shared" si="15"/>
        <v>2</v>
      </c>
      <c r="O29" s="106">
        <f t="shared" si="15"/>
        <v>2</v>
      </c>
      <c r="P29" s="106">
        <f t="shared" si="15"/>
        <v>2</v>
      </c>
      <c r="Q29" s="106">
        <f t="shared" si="15"/>
        <v>2</v>
      </c>
      <c r="R29" s="106">
        <f t="shared" si="15"/>
        <v>2</v>
      </c>
      <c r="S29" s="106">
        <f t="shared" si="15"/>
        <v>2</v>
      </c>
      <c r="T29" s="106">
        <f>ROUND(+$H19,0)</f>
        <v>2</v>
      </c>
      <c r="AM29" s="22">
        <f t="shared" si="11"/>
        <v>26</v>
      </c>
      <c r="AN29" s="188">
        <f>ROUND(H$16,0)-ROUND($AM29,0)</f>
        <v>0</v>
      </c>
    </row>
    <row r="30" spans="1:40" x14ac:dyDescent="0.2">
      <c r="A30" t="s">
        <v>102</v>
      </c>
      <c r="B30" t="s">
        <v>66</v>
      </c>
      <c r="I30" s="22">
        <f>ROUND(+$I19,0)-1</f>
        <v>-6</v>
      </c>
      <c r="J30" s="22">
        <f>ROUND(+$I19,0)-1</f>
        <v>-6</v>
      </c>
      <c r="K30" s="106">
        <f>ROUND(+$I19,0)-1</f>
        <v>-6</v>
      </c>
      <c r="L30" s="106">
        <f>ROUND(+$I19,0)-1</f>
        <v>-6</v>
      </c>
      <c r="M30" s="106">
        <f>ROUND(+$I19,0)-1</f>
        <v>-6</v>
      </c>
      <c r="N30" s="106">
        <f t="shared" ref="N30:T30" si="16">ROUND(+$I19,0)</f>
        <v>-5</v>
      </c>
      <c r="O30" s="106">
        <f t="shared" si="16"/>
        <v>-5</v>
      </c>
      <c r="P30" s="106">
        <f t="shared" si="16"/>
        <v>-5</v>
      </c>
      <c r="Q30" s="106">
        <f t="shared" si="16"/>
        <v>-5</v>
      </c>
      <c r="R30" s="106">
        <f t="shared" si="16"/>
        <v>-5</v>
      </c>
      <c r="S30" s="106">
        <f t="shared" si="16"/>
        <v>-5</v>
      </c>
      <c r="T30" s="106">
        <f t="shared" si="16"/>
        <v>-5</v>
      </c>
      <c r="U30" s="106">
        <f>ROUND(+$I19,0)-1</f>
        <v>-6</v>
      </c>
      <c r="V30" s="348"/>
      <c r="W30" s="85"/>
      <c r="X30" s="85"/>
      <c r="Y30" s="85"/>
      <c r="Z30" s="246"/>
      <c r="AA30" s="22"/>
      <c r="AB30" s="22"/>
      <c r="AC30" s="22"/>
      <c r="AD30" s="22"/>
      <c r="AE30" s="22"/>
      <c r="AM30" s="22">
        <f t="shared" si="11"/>
        <v>-71</v>
      </c>
      <c r="AN30" s="188">
        <f>ROUND(I$16,0)-ROUND($AM30,0)</f>
        <v>0</v>
      </c>
    </row>
    <row r="31" spans="1:40" x14ac:dyDescent="0.2">
      <c r="A31" t="s">
        <v>308</v>
      </c>
      <c r="B31" t="s">
        <v>66</v>
      </c>
      <c r="I31" s="22"/>
      <c r="J31" s="22">
        <f>ROUND(+$J19,0)</f>
        <v>26</v>
      </c>
      <c r="K31" s="106">
        <f t="shared" ref="K31:V31" si="17">ROUND(+$J19,0)</f>
        <v>26</v>
      </c>
      <c r="L31" s="106">
        <f t="shared" si="17"/>
        <v>26</v>
      </c>
      <c r="M31" s="106">
        <f t="shared" si="17"/>
        <v>26</v>
      </c>
      <c r="N31" s="106">
        <f t="shared" si="17"/>
        <v>26</v>
      </c>
      <c r="O31" s="106">
        <f t="shared" si="17"/>
        <v>26</v>
      </c>
      <c r="P31" s="106">
        <f t="shared" si="17"/>
        <v>26</v>
      </c>
      <c r="Q31" s="106">
        <f t="shared" si="17"/>
        <v>26</v>
      </c>
      <c r="R31" s="106">
        <f t="shared" si="17"/>
        <v>26</v>
      </c>
      <c r="S31" s="106">
        <f t="shared" si="17"/>
        <v>26</v>
      </c>
      <c r="T31" s="106">
        <f t="shared" si="17"/>
        <v>26</v>
      </c>
      <c r="U31" s="106">
        <f t="shared" si="17"/>
        <v>26</v>
      </c>
      <c r="V31" s="348">
        <f t="shared" si="17"/>
        <v>26</v>
      </c>
      <c r="W31" s="85"/>
      <c r="X31" s="85"/>
      <c r="Y31" s="85"/>
      <c r="Z31" s="246"/>
      <c r="AA31" s="22"/>
      <c r="AB31" s="22"/>
      <c r="AC31" s="22"/>
      <c r="AD31" s="22"/>
      <c r="AE31" s="22"/>
      <c r="AM31" s="22">
        <f t="shared" si="11"/>
        <v>338</v>
      </c>
      <c r="AN31" s="188">
        <f>ROUND(J$16,0)-ROUND($AM31,0)</f>
        <v>0</v>
      </c>
    </row>
    <row r="32" spans="1:40" x14ac:dyDescent="0.2">
      <c r="A32" t="s">
        <v>310</v>
      </c>
      <c r="B32" t="s">
        <v>66</v>
      </c>
      <c r="I32" s="22"/>
      <c r="J32" s="22"/>
      <c r="K32" s="106">
        <f>ROUND(+$K19,0)</f>
        <v>-1</v>
      </c>
      <c r="L32" s="106">
        <f t="shared" ref="L32:R32" si="18">ROUND(+$K19,0)</f>
        <v>-1</v>
      </c>
      <c r="M32" s="106">
        <f t="shared" si="18"/>
        <v>-1</v>
      </c>
      <c r="N32" s="106">
        <f t="shared" si="18"/>
        <v>-1</v>
      </c>
      <c r="O32" s="106">
        <f t="shared" si="18"/>
        <v>-1</v>
      </c>
      <c r="P32" s="106">
        <f t="shared" si="18"/>
        <v>-1</v>
      </c>
      <c r="Q32" s="106">
        <f t="shared" si="18"/>
        <v>-1</v>
      </c>
      <c r="R32" s="106">
        <f t="shared" si="18"/>
        <v>-1</v>
      </c>
      <c r="S32" s="106">
        <f>ROUND(+$K19,0)-1</f>
        <v>-2</v>
      </c>
      <c r="T32" s="106">
        <f>ROUND(+$K19,0)-1</f>
        <v>-2</v>
      </c>
      <c r="U32" s="106">
        <f>ROUND(+$K19,0)-1</f>
        <v>-2</v>
      </c>
      <c r="V32" s="348">
        <f>ROUND(+$K19,0)-1</f>
        <v>-2</v>
      </c>
      <c r="W32" s="85">
        <f>ROUND(+$K19,0)-1</f>
        <v>-2</v>
      </c>
      <c r="X32" s="85"/>
      <c r="Y32" s="85"/>
      <c r="Z32" s="246"/>
      <c r="AA32" s="106"/>
      <c r="AB32" s="106"/>
      <c r="AC32" s="106"/>
      <c r="AD32" s="22"/>
      <c r="AE32" s="22"/>
      <c r="AM32" s="22">
        <f t="shared" si="11"/>
        <v>-18</v>
      </c>
      <c r="AN32" s="188">
        <f>ROUND(K$16,0)-ROUND($AM32,0)</f>
        <v>0</v>
      </c>
    </row>
    <row r="33" spans="1:40" x14ac:dyDescent="0.2">
      <c r="A33" t="s">
        <v>311</v>
      </c>
      <c r="B33" t="s">
        <v>66</v>
      </c>
      <c r="I33" s="22"/>
      <c r="J33" s="22"/>
      <c r="K33" s="106"/>
      <c r="L33" s="106"/>
      <c r="M33" s="106">
        <f>ROUND(+$L19,0)</f>
        <v>3</v>
      </c>
      <c r="N33" s="106">
        <f t="shared" ref="N33:T33" si="19">ROUND(+$L19,0)</f>
        <v>3</v>
      </c>
      <c r="O33" s="106">
        <f t="shared" si="19"/>
        <v>3</v>
      </c>
      <c r="P33" s="106">
        <f t="shared" si="19"/>
        <v>3</v>
      </c>
      <c r="Q33" s="106">
        <f t="shared" si="19"/>
        <v>3</v>
      </c>
      <c r="R33" s="106">
        <f t="shared" si="19"/>
        <v>3</v>
      </c>
      <c r="S33" s="106">
        <f t="shared" si="19"/>
        <v>3</v>
      </c>
      <c r="T33" s="106">
        <f t="shared" si="19"/>
        <v>3</v>
      </c>
      <c r="U33" s="106">
        <f>ROUND(+$L19,0)-1</f>
        <v>2</v>
      </c>
      <c r="V33" s="348">
        <f>ROUND(+$L19,0)-1</f>
        <v>2</v>
      </c>
      <c r="W33" s="85">
        <f>ROUND(+$L19,0)-1</f>
        <v>2</v>
      </c>
      <c r="X33" s="85">
        <f>ROUND(+$L19,0)-1</f>
        <v>2</v>
      </c>
      <c r="Y33" s="85">
        <f>ROUND(+$L19,0)-1</f>
        <v>2</v>
      </c>
      <c r="Z33" s="246"/>
      <c r="AA33" s="106"/>
      <c r="AB33" s="106"/>
      <c r="AC33" s="106"/>
      <c r="AD33" s="22"/>
      <c r="AE33" s="22"/>
      <c r="AM33" s="22">
        <f t="shared" si="11"/>
        <v>34</v>
      </c>
      <c r="AN33" s="188">
        <f>ROUND(L$16,0)-ROUND($AM33,0)</f>
        <v>0</v>
      </c>
    </row>
    <row r="34" spans="1:40" s="115" customFormat="1" x14ac:dyDescent="0.2">
      <c r="A34" s="115" t="s">
        <v>312</v>
      </c>
      <c r="B34" s="115" t="s">
        <v>66</v>
      </c>
      <c r="I34" s="106"/>
      <c r="J34" s="106"/>
      <c r="K34" s="106"/>
      <c r="L34" s="106"/>
      <c r="M34" s="106"/>
      <c r="N34" s="106">
        <f>ROUND(+$M19,0)</f>
        <v>-2</v>
      </c>
      <c r="O34" s="106">
        <f t="shared" ref="O34:X34" si="20">ROUND(+$M19,0)</f>
        <v>-2</v>
      </c>
      <c r="P34" s="106">
        <f t="shared" si="20"/>
        <v>-2</v>
      </c>
      <c r="Q34" s="106">
        <f t="shared" si="20"/>
        <v>-2</v>
      </c>
      <c r="R34" s="106">
        <f t="shared" si="20"/>
        <v>-2</v>
      </c>
      <c r="S34" s="106">
        <f t="shared" si="20"/>
        <v>-2</v>
      </c>
      <c r="T34" s="106">
        <f t="shared" si="20"/>
        <v>-2</v>
      </c>
      <c r="U34" s="106">
        <f t="shared" si="20"/>
        <v>-2</v>
      </c>
      <c r="V34" s="348">
        <f t="shared" si="20"/>
        <v>-2</v>
      </c>
      <c r="W34" s="85">
        <f t="shared" si="20"/>
        <v>-2</v>
      </c>
      <c r="X34" s="85">
        <f t="shared" si="20"/>
        <v>-2</v>
      </c>
      <c r="Y34" s="85">
        <f>ROUND(+$M19,0)-1</f>
        <v>-3</v>
      </c>
      <c r="Z34" s="246">
        <f>ROUND(+$M19,0)-1</f>
        <v>-3</v>
      </c>
      <c r="AA34" s="106">
        <f>ROUND(+$M19,0)-1</f>
        <v>-3</v>
      </c>
      <c r="AB34" s="106"/>
      <c r="AC34" s="106"/>
      <c r="AD34" s="106"/>
      <c r="AE34" s="106"/>
      <c r="AM34" s="22">
        <f t="shared" si="11"/>
        <v>-31</v>
      </c>
      <c r="AN34" s="188">
        <f>ROUND(M$16,0)-ROUND($AM34,0)</f>
        <v>0</v>
      </c>
    </row>
    <row r="35" spans="1:40" s="115" customFormat="1" x14ac:dyDescent="0.2">
      <c r="A35" s="115" t="s">
        <v>313</v>
      </c>
      <c r="B35" s="115" t="s">
        <v>66</v>
      </c>
      <c r="I35" s="106"/>
      <c r="J35" s="106"/>
      <c r="K35" s="106"/>
      <c r="L35" s="106"/>
      <c r="M35" s="106"/>
      <c r="N35" s="106"/>
      <c r="O35" s="106">
        <f>ROUND(+$N19,0)</f>
        <v>-2</v>
      </c>
      <c r="P35" s="106">
        <f t="shared" ref="P35:AA35" si="21">ROUND(+$N19,0)</f>
        <v>-2</v>
      </c>
      <c r="Q35" s="106">
        <f t="shared" si="21"/>
        <v>-2</v>
      </c>
      <c r="R35" s="106">
        <f t="shared" si="21"/>
        <v>-2</v>
      </c>
      <c r="S35" s="106">
        <f t="shared" si="21"/>
        <v>-2</v>
      </c>
      <c r="T35" s="106">
        <f t="shared" si="21"/>
        <v>-2</v>
      </c>
      <c r="U35" s="106">
        <f t="shared" si="21"/>
        <v>-2</v>
      </c>
      <c r="V35" s="348">
        <f t="shared" si="21"/>
        <v>-2</v>
      </c>
      <c r="W35" s="85">
        <f t="shared" si="21"/>
        <v>-2</v>
      </c>
      <c r="X35" s="85">
        <f t="shared" si="21"/>
        <v>-2</v>
      </c>
      <c r="Y35" s="85">
        <f t="shared" si="21"/>
        <v>-2</v>
      </c>
      <c r="Z35" s="246">
        <f t="shared" si="21"/>
        <v>-2</v>
      </c>
      <c r="AA35" s="106">
        <f t="shared" si="21"/>
        <v>-2</v>
      </c>
      <c r="AB35" s="106">
        <f>ROUND(+$N19,0)+1</f>
        <v>-1</v>
      </c>
      <c r="AC35" s="106"/>
      <c r="AD35" s="106"/>
      <c r="AE35" s="106"/>
      <c r="AM35" s="22">
        <f t="shared" si="11"/>
        <v>-27</v>
      </c>
      <c r="AN35" s="188">
        <f>ROUND(N$16,0)-ROUND($AM35,0)</f>
        <v>0</v>
      </c>
    </row>
    <row r="36" spans="1:40" s="115" customFormat="1" x14ac:dyDescent="0.2">
      <c r="A36" s="115" t="s">
        <v>314</v>
      </c>
      <c r="B36" s="115" t="s">
        <v>66</v>
      </c>
      <c r="I36" s="106"/>
      <c r="J36" s="106"/>
      <c r="K36" s="106"/>
      <c r="L36" s="106"/>
      <c r="M36" s="106"/>
      <c r="N36" s="106"/>
      <c r="O36" s="106"/>
      <c r="P36" s="106">
        <f t="shared" ref="P36:AB36" si="22">ROUND(+$O19,0)</f>
        <v>2</v>
      </c>
      <c r="Q36" s="106">
        <f t="shared" si="22"/>
        <v>2</v>
      </c>
      <c r="R36" s="106">
        <f t="shared" si="22"/>
        <v>2</v>
      </c>
      <c r="S36" s="106">
        <f t="shared" si="22"/>
        <v>2</v>
      </c>
      <c r="T36" s="106">
        <f t="shared" si="22"/>
        <v>2</v>
      </c>
      <c r="U36" s="106">
        <f t="shared" si="22"/>
        <v>2</v>
      </c>
      <c r="V36" s="348">
        <f t="shared" si="22"/>
        <v>2</v>
      </c>
      <c r="W36" s="85">
        <f t="shared" si="22"/>
        <v>2</v>
      </c>
      <c r="X36" s="85">
        <f t="shared" si="22"/>
        <v>2</v>
      </c>
      <c r="Y36" s="85">
        <f t="shared" si="22"/>
        <v>2</v>
      </c>
      <c r="Z36" s="246">
        <f t="shared" si="22"/>
        <v>2</v>
      </c>
      <c r="AA36" s="106">
        <f t="shared" si="22"/>
        <v>2</v>
      </c>
      <c r="AB36" s="106">
        <f t="shared" si="22"/>
        <v>2</v>
      </c>
      <c r="AC36" s="106">
        <f>ROUND(+$O19,0)+2</f>
        <v>4</v>
      </c>
      <c r="AD36" s="106"/>
      <c r="AE36" s="106"/>
      <c r="AM36" s="22">
        <f t="shared" si="11"/>
        <v>30</v>
      </c>
      <c r="AN36" s="188">
        <f>ROUND(O$16,0)-ROUND($AM36,0)</f>
        <v>0</v>
      </c>
    </row>
    <row r="37" spans="1:40" s="115" customFormat="1" x14ac:dyDescent="0.2">
      <c r="A37" s="115" t="s">
        <v>329</v>
      </c>
      <c r="B37" s="115" t="s">
        <v>66</v>
      </c>
      <c r="I37" s="106"/>
      <c r="J37" s="106"/>
      <c r="K37" s="106"/>
      <c r="L37" s="106"/>
      <c r="M37" s="106"/>
      <c r="N37" s="106"/>
      <c r="O37" s="106"/>
      <c r="P37" s="106"/>
      <c r="Q37" s="106">
        <f>ROUND(+$P19,0)</f>
        <v>-4</v>
      </c>
      <c r="R37" s="106">
        <f t="shared" ref="R37:AC37" si="23">ROUND(+$P19,0)</f>
        <v>-4</v>
      </c>
      <c r="S37" s="106">
        <f t="shared" si="23"/>
        <v>-4</v>
      </c>
      <c r="T37" s="106">
        <f t="shared" si="23"/>
        <v>-4</v>
      </c>
      <c r="U37" s="106">
        <f t="shared" si="23"/>
        <v>-4</v>
      </c>
      <c r="V37" s="348">
        <f t="shared" si="23"/>
        <v>-4</v>
      </c>
      <c r="W37" s="85">
        <f t="shared" si="23"/>
        <v>-4</v>
      </c>
      <c r="X37" s="85">
        <f t="shared" si="23"/>
        <v>-4</v>
      </c>
      <c r="Y37" s="85">
        <f t="shared" si="23"/>
        <v>-4</v>
      </c>
      <c r="Z37" s="246">
        <f t="shared" si="23"/>
        <v>-4</v>
      </c>
      <c r="AA37" s="106">
        <f t="shared" si="23"/>
        <v>-4</v>
      </c>
      <c r="AB37" s="106">
        <f t="shared" si="23"/>
        <v>-4</v>
      </c>
      <c r="AC37" s="106">
        <f t="shared" si="23"/>
        <v>-4</v>
      </c>
      <c r="AD37" s="106">
        <f>ROUND(+$P19,0)-3</f>
        <v>-7</v>
      </c>
      <c r="AE37" s="106"/>
      <c r="AM37" s="22">
        <f t="shared" si="11"/>
        <v>-59</v>
      </c>
      <c r="AN37" s="188">
        <f>ROUND(P$16,0)-ROUND($AM37,0)</f>
        <v>0</v>
      </c>
    </row>
    <row r="38" spans="1:40" s="115" customFormat="1" x14ac:dyDescent="0.2">
      <c r="A38" s="195" t="s">
        <v>332</v>
      </c>
      <c r="B38" s="195" t="s">
        <v>66</v>
      </c>
      <c r="I38" s="106"/>
      <c r="J38" s="106"/>
      <c r="K38" s="106"/>
      <c r="L38" s="106"/>
      <c r="M38" s="106"/>
      <c r="N38" s="106"/>
      <c r="O38" s="106"/>
      <c r="P38" s="106"/>
      <c r="Q38" s="106"/>
      <c r="R38" s="106">
        <f>ROUND($Q19,0)</f>
        <v>-5</v>
      </c>
      <c r="S38" s="106">
        <f t="shared" ref="S38:AB38" si="24">ROUND($Q19,0)</f>
        <v>-5</v>
      </c>
      <c r="T38" s="106">
        <f t="shared" si="24"/>
        <v>-5</v>
      </c>
      <c r="U38" s="106">
        <f t="shared" si="24"/>
        <v>-5</v>
      </c>
      <c r="V38" s="348">
        <f t="shared" si="24"/>
        <v>-5</v>
      </c>
      <c r="W38" s="85">
        <f t="shared" si="24"/>
        <v>-5</v>
      </c>
      <c r="X38" s="85">
        <f t="shared" si="24"/>
        <v>-5</v>
      </c>
      <c r="Y38" s="85">
        <f t="shared" si="24"/>
        <v>-5</v>
      </c>
      <c r="Z38" s="246">
        <f t="shared" si="24"/>
        <v>-5</v>
      </c>
      <c r="AA38" s="106">
        <f t="shared" si="24"/>
        <v>-5</v>
      </c>
      <c r="AB38" s="106">
        <f t="shared" si="24"/>
        <v>-5</v>
      </c>
      <c r="AC38" s="313">
        <f>ROUND($Q19,0)-1</f>
        <v>-6</v>
      </c>
      <c r="AD38" s="313">
        <f>ROUND($Q19,0)-1</f>
        <v>-6</v>
      </c>
      <c r="AE38" s="313">
        <f>ROUND($Q19,0)-1</f>
        <v>-6</v>
      </c>
      <c r="AM38" s="22">
        <f t="shared" si="11"/>
        <v>-73</v>
      </c>
      <c r="AN38" s="188">
        <f>ROUND(Q$16,0)-ROUND($AM38,0)</f>
        <v>0</v>
      </c>
    </row>
    <row r="39" spans="1:40" s="115" customFormat="1" x14ac:dyDescent="0.2">
      <c r="A39" s="195" t="s">
        <v>336</v>
      </c>
      <c r="B39" s="195" t="s">
        <v>66</v>
      </c>
      <c r="I39" s="106"/>
      <c r="J39" s="106"/>
      <c r="K39" s="106"/>
      <c r="L39" s="106"/>
      <c r="M39" s="106"/>
      <c r="N39" s="106"/>
      <c r="O39" s="106"/>
      <c r="P39" s="106"/>
      <c r="Q39" s="106"/>
      <c r="R39" s="106"/>
      <c r="S39" s="106">
        <f>ROUND($R$19,0)</f>
        <v>1</v>
      </c>
      <c r="T39" s="106">
        <f t="shared" ref="T39:AA39" si="25">ROUND($R$19,0)</f>
        <v>1</v>
      </c>
      <c r="U39" s="106">
        <f t="shared" si="25"/>
        <v>1</v>
      </c>
      <c r="V39" s="348">
        <f t="shared" si="25"/>
        <v>1</v>
      </c>
      <c r="W39" s="85">
        <f t="shared" si="25"/>
        <v>1</v>
      </c>
      <c r="X39" s="85">
        <f t="shared" si="25"/>
        <v>1</v>
      </c>
      <c r="Y39" s="85">
        <f t="shared" si="25"/>
        <v>1</v>
      </c>
      <c r="Z39" s="246">
        <f t="shared" si="25"/>
        <v>1</v>
      </c>
      <c r="AA39" s="106">
        <f t="shared" si="25"/>
        <v>1</v>
      </c>
      <c r="AB39" s="313">
        <f>ROUND($R$19,0)-1</f>
        <v>0</v>
      </c>
      <c r="AC39" s="313">
        <f>ROUND($R$19,0)-1</f>
        <v>0</v>
      </c>
      <c r="AD39" s="313">
        <f>ROUND($R$19,0)-1</f>
        <v>0</v>
      </c>
      <c r="AE39" s="313">
        <f>ROUND($R$19,0)-1</f>
        <v>0</v>
      </c>
      <c r="AF39" s="313">
        <f>ROUND($R$19,0)-1</f>
        <v>0</v>
      </c>
      <c r="AG39" s="106"/>
      <c r="AH39" s="106"/>
      <c r="AI39" s="106"/>
      <c r="AJ39" s="106"/>
      <c r="AK39" s="106"/>
      <c r="AL39" s="106"/>
      <c r="AM39" s="106">
        <f>SUM(O39:AG39)</f>
        <v>9</v>
      </c>
      <c r="AN39" s="188">
        <f>ROUND($AM$39,0)-ROUND($R$16,0)</f>
        <v>0</v>
      </c>
    </row>
    <row r="40" spans="1:40" s="115" customFormat="1" x14ac:dyDescent="0.2">
      <c r="A40" s="303" t="s">
        <v>350</v>
      </c>
      <c r="B40" s="195" t="s">
        <v>66</v>
      </c>
      <c r="I40" s="106"/>
      <c r="J40" s="106"/>
      <c r="K40" s="106"/>
      <c r="L40" s="106"/>
      <c r="M40" s="106"/>
      <c r="N40" s="106"/>
      <c r="O40" s="106"/>
      <c r="P40" s="106"/>
      <c r="Q40" s="106"/>
      <c r="R40" s="106"/>
      <c r="S40" s="106"/>
      <c r="T40" s="106">
        <f>ROUND($S$19,0)</f>
        <v>2</v>
      </c>
      <c r="U40" s="106">
        <f t="shared" ref="U40:AF40" si="26">ROUND($S$19,0)</f>
        <v>2</v>
      </c>
      <c r="V40" s="348">
        <f t="shared" si="26"/>
        <v>2</v>
      </c>
      <c r="W40" s="85">
        <f t="shared" si="26"/>
        <v>2</v>
      </c>
      <c r="X40" s="85">
        <f t="shared" si="26"/>
        <v>2</v>
      </c>
      <c r="Y40" s="85">
        <f t="shared" si="26"/>
        <v>2</v>
      </c>
      <c r="Z40" s="246">
        <f t="shared" si="26"/>
        <v>2</v>
      </c>
      <c r="AA40" s="106">
        <f t="shared" si="26"/>
        <v>2</v>
      </c>
      <c r="AB40" s="106">
        <f t="shared" si="26"/>
        <v>2</v>
      </c>
      <c r="AC40" s="106">
        <f t="shared" si="26"/>
        <v>2</v>
      </c>
      <c r="AD40" s="106">
        <f t="shared" si="26"/>
        <v>2</v>
      </c>
      <c r="AE40" s="106">
        <f t="shared" si="26"/>
        <v>2</v>
      </c>
      <c r="AF40" s="106">
        <f t="shared" si="26"/>
        <v>2</v>
      </c>
      <c r="AG40" s="313">
        <f>ROUND($S$19,0)-1</f>
        <v>1</v>
      </c>
      <c r="AH40" s="106"/>
      <c r="AI40" s="106"/>
      <c r="AJ40" s="106"/>
      <c r="AK40" s="106"/>
      <c r="AL40" s="106"/>
      <c r="AM40" s="106">
        <f>SUM(O40:AG40)</f>
        <v>27</v>
      </c>
      <c r="AN40" s="188">
        <f>ROUND($AM40,0)-ROUND(S$16,0)</f>
        <v>0</v>
      </c>
    </row>
    <row r="41" spans="1:40" s="115" customFormat="1" x14ac:dyDescent="0.2">
      <c r="A41" s="195" t="s">
        <v>355</v>
      </c>
      <c r="B41" s="195" t="s">
        <v>66</v>
      </c>
      <c r="I41" s="106"/>
      <c r="J41" s="106"/>
      <c r="K41" s="106"/>
      <c r="L41" s="106"/>
      <c r="M41" s="106"/>
      <c r="N41" s="106"/>
      <c r="O41" s="106"/>
      <c r="P41" s="106"/>
      <c r="Q41" s="106"/>
      <c r="R41" s="106"/>
      <c r="S41" s="106"/>
      <c r="T41" s="106"/>
      <c r="U41" s="387">
        <f t="shared" ref="U41:AA41" si="27">ROUND($T$19,0)+1</f>
        <v>4</v>
      </c>
      <c r="V41" s="384">
        <f t="shared" si="27"/>
        <v>4</v>
      </c>
      <c r="W41" s="385">
        <f t="shared" si="27"/>
        <v>4</v>
      </c>
      <c r="X41" s="385">
        <f t="shared" si="27"/>
        <v>4</v>
      </c>
      <c r="Y41" s="385">
        <f t="shared" si="27"/>
        <v>4</v>
      </c>
      <c r="Z41" s="386">
        <f t="shared" si="27"/>
        <v>4</v>
      </c>
      <c r="AA41" s="387">
        <f t="shared" si="27"/>
        <v>4</v>
      </c>
      <c r="AB41" s="106">
        <f t="shared" ref="AB41:AH41" si="28">ROUND($T$19,0)</f>
        <v>3</v>
      </c>
      <c r="AC41" s="106">
        <f t="shared" si="28"/>
        <v>3</v>
      </c>
      <c r="AD41" s="106">
        <f t="shared" si="28"/>
        <v>3</v>
      </c>
      <c r="AE41" s="106">
        <f t="shared" si="28"/>
        <v>3</v>
      </c>
      <c r="AF41" s="106">
        <f t="shared" si="28"/>
        <v>3</v>
      </c>
      <c r="AG41" s="106">
        <f t="shared" si="28"/>
        <v>3</v>
      </c>
      <c r="AH41" s="106">
        <f t="shared" si="28"/>
        <v>3</v>
      </c>
      <c r="AI41" s="106"/>
      <c r="AJ41" s="106"/>
      <c r="AK41" s="106"/>
      <c r="AL41" s="106"/>
      <c r="AM41" s="106">
        <f>SUM(O41:AH41)</f>
        <v>49</v>
      </c>
      <c r="AN41" s="188">
        <f>ROUND($AM41,0)-ROUND(T$16,0)</f>
        <v>0</v>
      </c>
    </row>
    <row r="42" spans="1:40" s="115" customFormat="1" x14ac:dyDescent="0.2">
      <c r="A42" s="465" t="s">
        <v>358</v>
      </c>
      <c r="B42" s="195" t="s">
        <v>66</v>
      </c>
      <c r="I42" s="106"/>
      <c r="J42" s="106"/>
      <c r="K42" s="106"/>
      <c r="L42" s="106"/>
      <c r="M42" s="106"/>
      <c r="N42" s="106"/>
      <c r="O42" s="106"/>
      <c r="P42" s="106"/>
      <c r="Q42" s="106"/>
      <c r="R42" s="106"/>
      <c r="S42" s="106"/>
      <c r="T42" s="106"/>
      <c r="U42" s="106"/>
      <c r="V42" s="348">
        <f>ROUND($U$19,0)+1</f>
        <v>2</v>
      </c>
      <c r="W42" s="406">
        <f t="shared" ref="W42:AA42" si="29">ROUND($U$19,0)+1</f>
        <v>2</v>
      </c>
      <c r="X42" s="406">
        <f t="shared" si="29"/>
        <v>2</v>
      </c>
      <c r="Y42" s="406">
        <f t="shared" si="29"/>
        <v>2</v>
      </c>
      <c r="Z42" s="407">
        <f t="shared" si="29"/>
        <v>2</v>
      </c>
      <c r="AA42" s="408">
        <f t="shared" si="29"/>
        <v>2</v>
      </c>
      <c r="AB42" s="106">
        <f t="shared" ref="AB42:AG42" si="30">ROUND($U$19,0)</f>
        <v>1</v>
      </c>
      <c r="AC42" s="106">
        <f t="shared" si="30"/>
        <v>1</v>
      </c>
      <c r="AD42" s="106">
        <f t="shared" si="30"/>
        <v>1</v>
      </c>
      <c r="AE42" s="106">
        <f t="shared" si="30"/>
        <v>1</v>
      </c>
      <c r="AF42" s="106">
        <f t="shared" si="30"/>
        <v>1</v>
      </c>
      <c r="AG42" s="106">
        <f t="shared" si="30"/>
        <v>1</v>
      </c>
      <c r="AH42" s="106">
        <f>ROUND($U$19,0)</f>
        <v>1</v>
      </c>
      <c r="AI42" s="106">
        <f>ROUND($U$19,0)</f>
        <v>1</v>
      </c>
      <c r="AJ42" s="106"/>
      <c r="AK42" s="106"/>
      <c r="AL42" s="106"/>
      <c r="AM42" s="106">
        <f>SUM(O42:AH42)</f>
        <v>19</v>
      </c>
      <c r="AN42" s="188">
        <f>ROUND($AM42,0)-ROUND(U$16,0)</f>
        <v>0</v>
      </c>
    </row>
    <row r="43" spans="1:40" s="115" customFormat="1" x14ac:dyDescent="0.2">
      <c r="A43" s="295" t="s">
        <v>363</v>
      </c>
      <c r="B43" s="195"/>
      <c r="I43" s="106"/>
      <c r="J43" s="106"/>
      <c r="K43" s="106"/>
      <c r="L43" s="106"/>
      <c r="M43" s="106"/>
      <c r="N43" s="106"/>
      <c r="O43" s="106"/>
      <c r="P43" s="106"/>
      <c r="Q43" s="106"/>
      <c r="R43" s="106"/>
      <c r="S43" s="106"/>
      <c r="T43" s="106"/>
      <c r="U43" s="106"/>
      <c r="V43" s="348"/>
      <c r="W43" s="406">
        <f t="shared" ref="W43:AC43" si="31">ROUND($V$19,0)+1</f>
        <v>2</v>
      </c>
      <c r="X43" s="406">
        <f t="shared" si="31"/>
        <v>2</v>
      </c>
      <c r="Y43" s="406">
        <f t="shared" si="31"/>
        <v>2</v>
      </c>
      <c r="Z43" s="407">
        <f t="shared" si="31"/>
        <v>2</v>
      </c>
      <c r="AA43" s="408">
        <f t="shared" si="31"/>
        <v>2</v>
      </c>
      <c r="AB43" s="106">
        <f t="shared" si="31"/>
        <v>2</v>
      </c>
      <c r="AC43" s="106">
        <f t="shared" si="31"/>
        <v>2</v>
      </c>
      <c r="AD43" s="106">
        <f t="shared" ref="AD43:AK43" si="32">ROUND($V$19,0)</f>
        <v>1</v>
      </c>
      <c r="AE43" s="106">
        <f t="shared" si="32"/>
        <v>1</v>
      </c>
      <c r="AF43" s="106">
        <f t="shared" si="32"/>
        <v>1</v>
      </c>
      <c r="AG43" s="106">
        <f t="shared" si="32"/>
        <v>1</v>
      </c>
      <c r="AH43" s="106">
        <f t="shared" si="32"/>
        <v>1</v>
      </c>
      <c r="AI43" s="106">
        <f t="shared" si="32"/>
        <v>1</v>
      </c>
      <c r="AJ43" s="106">
        <f t="shared" si="32"/>
        <v>1</v>
      </c>
      <c r="AK43" s="106">
        <f t="shared" si="32"/>
        <v>1</v>
      </c>
      <c r="AL43" s="106">
        <f>ROUND($V$19,0)*0.3</f>
        <v>0.3</v>
      </c>
      <c r="AM43" s="106">
        <f>SUM(O43:AL43)</f>
        <v>22.3</v>
      </c>
      <c r="AN43" s="188">
        <f>ROUND($AM43,0)-ROUND(V$16,0)</f>
        <v>0</v>
      </c>
    </row>
    <row r="44" spans="1:40" s="31" customFormat="1" x14ac:dyDescent="0.2">
      <c r="A44" s="31" t="s">
        <v>90</v>
      </c>
      <c r="B44" s="31" t="s">
        <v>31</v>
      </c>
      <c r="C44" s="37">
        <f>SUM(C24:C41)</f>
        <v>6</v>
      </c>
      <c r="D44" s="37">
        <f t="shared" ref="D44:T44" si="33">SUM(D24:D41)</f>
        <v>14</v>
      </c>
      <c r="E44" s="37">
        <f t="shared" si="33"/>
        <v>16</v>
      </c>
      <c r="F44" s="37">
        <f t="shared" si="33"/>
        <v>22</v>
      </c>
      <c r="G44" s="37">
        <f t="shared" si="33"/>
        <v>19</v>
      </c>
      <c r="H44" s="37">
        <f t="shared" si="33"/>
        <v>21</v>
      </c>
      <c r="I44" s="37">
        <f t="shared" si="33"/>
        <v>15</v>
      </c>
      <c r="J44" s="37">
        <f t="shared" si="33"/>
        <v>41</v>
      </c>
      <c r="K44" s="37">
        <f t="shared" si="33"/>
        <v>40</v>
      </c>
      <c r="L44" s="37">
        <f t="shared" si="33"/>
        <v>41</v>
      </c>
      <c r="M44" s="37">
        <f t="shared" si="33"/>
        <v>43</v>
      </c>
      <c r="N44" s="37">
        <f t="shared" si="33"/>
        <v>42</v>
      </c>
      <c r="O44" s="37">
        <f t="shared" si="33"/>
        <v>39</v>
      </c>
      <c r="P44" s="37">
        <f t="shared" si="33"/>
        <v>40</v>
      </c>
      <c r="Q44" s="37">
        <f t="shared" si="33"/>
        <v>22</v>
      </c>
      <c r="R44" s="136">
        <f t="shared" si="33"/>
        <v>16</v>
      </c>
      <c r="S44" s="136">
        <f t="shared" si="33"/>
        <v>16</v>
      </c>
      <c r="T44" s="136">
        <f t="shared" si="33"/>
        <v>14</v>
      </c>
      <c r="U44" s="136">
        <f>SUM(U24:U42)</f>
        <v>16</v>
      </c>
      <c r="V44" s="354">
        <f t="shared" ref="V44" si="34">SUM(V24:V42)</f>
        <v>24</v>
      </c>
      <c r="W44" s="91">
        <f>SUM(W24:W43)</f>
        <v>0</v>
      </c>
      <c r="X44" s="91">
        <f t="shared" ref="X44:AI44" si="35">SUM(X24:X43)</f>
        <v>2</v>
      </c>
      <c r="Y44" s="91">
        <f t="shared" si="35"/>
        <v>1</v>
      </c>
      <c r="Z44" s="253">
        <f t="shared" si="35"/>
        <v>-1</v>
      </c>
      <c r="AA44" s="37">
        <f t="shared" si="35"/>
        <v>-1</v>
      </c>
      <c r="AB44" s="37">
        <f t="shared" si="35"/>
        <v>0</v>
      </c>
      <c r="AC44" s="37">
        <f t="shared" si="35"/>
        <v>2</v>
      </c>
      <c r="AD44" s="37">
        <f t="shared" si="35"/>
        <v>-6</v>
      </c>
      <c r="AE44" s="37">
        <f t="shared" si="35"/>
        <v>1</v>
      </c>
      <c r="AF44" s="37">
        <f t="shared" si="35"/>
        <v>7</v>
      </c>
      <c r="AG44" s="37">
        <f t="shared" si="35"/>
        <v>6</v>
      </c>
      <c r="AH44" s="37">
        <f t="shared" si="35"/>
        <v>5</v>
      </c>
      <c r="AI44" s="37">
        <f t="shared" si="35"/>
        <v>2</v>
      </c>
      <c r="AJ44" s="37">
        <f>SUM(AJ24:AJ43)</f>
        <v>1</v>
      </c>
      <c r="AK44" s="37">
        <f>SUM(AK24:AK43)</f>
        <v>1</v>
      </c>
      <c r="AL44" s="37">
        <f>SUM(AL24:AL43)</f>
        <v>0.3</v>
      </c>
      <c r="AM44" s="37">
        <f t="shared" ref="AM44" si="36">SUM(AM24:AM42)</f>
        <v>504</v>
      </c>
      <c r="AN44" s="37">
        <f t="shared" ref="AN44" si="37">SUM(AN24:AN42)</f>
        <v>0</v>
      </c>
    </row>
    <row r="46" spans="1:40" s="3" customFormat="1" ht="15" x14ac:dyDescent="0.35">
      <c r="A46" s="41" t="s">
        <v>268</v>
      </c>
      <c r="C46" s="3">
        <f>'RCA data'!D14</f>
        <v>0</v>
      </c>
      <c r="D46" s="3">
        <f>'RCA data'!E14</f>
        <v>0</v>
      </c>
      <c r="E46" s="3">
        <f>'RCA data'!F14</f>
        <v>0</v>
      </c>
      <c r="F46" s="3">
        <f>'RCA data'!G14</f>
        <v>0</v>
      </c>
      <c r="G46" s="3">
        <f>'RCA data'!H14</f>
        <v>0</v>
      </c>
      <c r="H46" s="3">
        <f>'RCA data'!I14</f>
        <v>39</v>
      </c>
      <c r="I46" s="3">
        <f>'RCA data'!J14</f>
        <v>0</v>
      </c>
      <c r="J46" s="3">
        <f>'RCA data'!K14</f>
        <v>0</v>
      </c>
      <c r="K46" s="3">
        <f>'RCA data'!L14</f>
        <v>0</v>
      </c>
      <c r="L46" s="3">
        <f>'RCA data'!M14</f>
        <v>0</v>
      </c>
      <c r="M46" s="121">
        <f>'RCA data'!N14</f>
        <v>0</v>
      </c>
      <c r="N46" s="121">
        <f>'RCA data'!O14</f>
        <v>0</v>
      </c>
      <c r="O46" s="121">
        <f>'RCA data'!P14</f>
        <v>0</v>
      </c>
      <c r="P46" s="121">
        <f>'RCA data'!Q14</f>
        <v>0</v>
      </c>
      <c r="Q46" s="121">
        <f>'RCA data'!R14</f>
        <v>0</v>
      </c>
      <c r="R46" s="121">
        <f>'RCA data'!S14</f>
        <v>0</v>
      </c>
      <c r="S46" s="121">
        <f>'RCA data'!T14</f>
        <v>0</v>
      </c>
      <c r="T46" s="121">
        <f>'RCA data'!U14</f>
        <v>0</v>
      </c>
      <c r="U46" s="121"/>
      <c r="V46" s="344"/>
      <c r="W46" s="79"/>
      <c r="X46" s="79"/>
      <c r="Y46" s="79"/>
      <c r="Z46" s="240"/>
      <c r="AN46" s="178"/>
    </row>
    <row r="48" spans="1:40" x14ac:dyDescent="0.2">
      <c r="A48" s="28" t="s">
        <v>269</v>
      </c>
    </row>
    <row r="49" spans="1:40" s="3" customFormat="1" x14ac:dyDescent="0.2">
      <c r="A49" s="3" t="s">
        <v>134</v>
      </c>
      <c r="B49" s="3" t="s">
        <v>267</v>
      </c>
      <c r="H49" s="3">
        <f>'RCA amend'!C16</f>
        <v>-5</v>
      </c>
      <c r="I49" s="3">
        <f>'RCA amend'!D16</f>
        <v>-5</v>
      </c>
      <c r="J49" s="3">
        <f>'RCA amend'!E16</f>
        <v>-5</v>
      </c>
      <c r="K49" s="121">
        <f>'RCA amend'!F16</f>
        <v>-4</v>
      </c>
      <c r="L49" s="121">
        <f>'RCA amend'!G16</f>
        <v>-4</v>
      </c>
      <c r="M49" s="121">
        <f>'RCA amend'!H16</f>
        <v>-4</v>
      </c>
      <c r="N49" s="121">
        <f>'RCA amend'!I16</f>
        <v>-4</v>
      </c>
      <c r="O49" s="121">
        <f>'RCA amend'!J16</f>
        <v>-4</v>
      </c>
      <c r="P49" s="121">
        <f>'RCA amend'!K16</f>
        <v>-4</v>
      </c>
      <c r="Q49" s="121"/>
      <c r="R49" s="121"/>
      <c r="S49" s="121"/>
      <c r="T49" s="121"/>
      <c r="U49" s="121"/>
      <c r="V49" s="344"/>
      <c r="W49" s="79"/>
      <c r="X49" s="79"/>
      <c r="Y49" s="79"/>
      <c r="Z49" s="240"/>
      <c r="AN49" s="178"/>
    </row>
    <row r="50" spans="1:40" s="3" customFormat="1" x14ac:dyDescent="0.2">
      <c r="C50" s="6"/>
      <c r="D50" s="6"/>
      <c r="E50" s="6"/>
      <c r="F50" s="6"/>
      <c r="G50" s="6"/>
      <c r="H50" s="6"/>
      <c r="I50" s="6"/>
      <c r="J50" s="6"/>
      <c r="K50" s="125"/>
      <c r="L50" s="125"/>
      <c r="M50" s="125"/>
      <c r="N50" s="125"/>
      <c r="O50" s="125"/>
      <c r="P50" s="125"/>
      <c r="Q50" s="125"/>
      <c r="R50" s="125"/>
      <c r="S50" s="125"/>
      <c r="T50" s="125"/>
      <c r="U50" s="121"/>
      <c r="V50" s="344"/>
      <c r="W50" s="79"/>
      <c r="X50" s="79"/>
      <c r="Y50" s="79"/>
      <c r="Z50" s="240"/>
      <c r="AN50" s="178"/>
    </row>
    <row r="51" spans="1:40" s="25" customFormat="1" x14ac:dyDescent="0.2">
      <c r="A51" s="25" t="s">
        <v>270</v>
      </c>
      <c r="B51" s="25" t="s">
        <v>31</v>
      </c>
      <c r="C51" s="26">
        <f t="shared" ref="C51:U51" si="38">SUM(C49:C50)</f>
        <v>0</v>
      </c>
      <c r="D51" s="26">
        <f t="shared" si="38"/>
        <v>0</v>
      </c>
      <c r="E51" s="26">
        <f t="shared" si="38"/>
        <v>0</v>
      </c>
      <c r="F51" s="26">
        <f t="shared" si="38"/>
        <v>0</v>
      </c>
      <c r="G51" s="26">
        <f t="shared" si="38"/>
        <v>0</v>
      </c>
      <c r="H51" s="26">
        <f t="shared" si="38"/>
        <v>-5</v>
      </c>
      <c r="I51" s="26">
        <f t="shared" si="38"/>
        <v>-5</v>
      </c>
      <c r="J51" s="26">
        <f t="shared" si="38"/>
        <v>-5</v>
      </c>
      <c r="K51" s="129">
        <f t="shared" si="38"/>
        <v>-4</v>
      </c>
      <c r="L51" s="129">
        <f t="shared" si="38"/>
        <v>-4</v>
      </c>
      <c r="M51" s="129">
        <f t="shared" si="38"/>
        <v>-4</v>
      </c>
      <c r="N51" s="129">
        <f t="shared" si="38"/>
        <v>-4</v>
      </c>
      <c r="O51" s="129">
        <f t="shared" si="38"/>
        <v>-4</v>
      </c>
      <c r="P51" s="129">
        <f t="shared" si="38"/>
        <v>-4</v>
      </c>
      <c r="Q51" s="129">
        <f t="shared" si="38"/>
        <v>0</v>
      </c>
      <c r="R51" s="129">
        <f t="shared" si="38"/>
        <v>0</v>
      </c>
      <c r="S51" s="129">
        <f t="shared" si="38"/>
        <v>0</v>
      </c>
      <c r="T51" s="129">
        <f t="shared" si="38"/>
        <v>0</v>
      </c>
      <c r="U51" s="129">
        <f t="shared" si="38"/>
        <v>0</v>
      </c>
      <c r="V51" s="346">
        <f t="shared" ref="V51:AH51" si="39">SUM(V49:V50)</f>
        <v>0</v>
      </c>
      <c r="W51" s="83">
        <f t="shared" si="39"/>
        <v>0</v>
      </c>
      <c r="X51" s="83">
        <f t="shared" si="39"/>
        <v>0</v>
      </c>
      <c r="Y51" s="83">
        <f t="shared" si="39"/>
        <v>0</v>
      </c>
      <c r="Z51" s="244">
        <f t="shared" si="39"/>
        <v>0</v>
      </c>
      <c r="AA51" s="26">
        <f t="shared" si="39"/>
        <v>0</v>
      </c>
      <c r="AB51" s="26">
        <f t="shared" si="39"/>
        <v>0</v>
      </c>
      <c r="AC51" s="26">
        <f t="shared" si="39"/>
        <v>0</v>
      </c>
      <c r="AD51" s="26">
        <f t="shared" si="39"/>
        <v>0</v>
      </c>
      <c r="AE51" s="26">
        <f t="shared" si="39"/>
        <v>0</v>
      </c>
      <c r="AF51" s="26">
        <f t="shared" si="39"/>
        <v>0</v>
      </c>
      <c r="AG51" s="26">
        <f t="shared" si="39"/>
        <v>0</v>
      </c>
      <c r="AH51" s="26">
        <f t="shared" si="39"/>
        <v>0</v>
      </c>
      <c r="AN51" s="185"/>
    </row>
    <row r="53" spans="1:40" x14ac:dyDescent="0.2">
      <c r="A53" s="28" t="s">
        <v>271</v>
      </c>
    </row>
    <row r="54" spans="1:40" x14ac:dyDescent="0.2">
      <c r="A54" t="s">
        <v>272</v>
      </c>
      <c r="B54" t="s">
        <v>66</v>
      </c>
      <c r="C54" s="22">
        <f t="shared" ref="C54:T54" si="40">+C44</f>
        <v>6</v>
      </c>
      <c r="D54" s="22">
        <f t="shared" si="40"/>
        <v>14</v>
      </c>
      <c r="E54" s="22">
        <f t="shared" si="40"/>
        <v>16</v>
      </c>
      <c r="F54" s="22">
        <f t="shared" si="40"/>
        <v>22</v>
      </c>
      <c r="G54" s="22">
        <f t="shared" si="40"/>
        <v>19</v>
      </c>
      <c r="H54" s="22">
        <f t="shared" si="40"/>
        <v>21</v>
      </c>
      <c r="I54" s="22">
        <f t="shared" si="40"/>
        <v>15</v>
      </c>
      <c r="J54" s="22">
        <f t="shared" si="40"/>
        <v>41</v>
      </c>
      <c r="K54" s="106">
        <f t="shared" si="40"/>
        <v>40</v>
      </c>
      <c r="L54" s="106">
        <f t="shared" si="40"/>
        <v>41</v>
      </c>
      <c r="M54" s="106">
        <f t="shared" si="40"/>
        <v>43</v>
      </c>
      <c r="N54" s="106">
        <f t="shared" si="40"/>
        <v>42</v>
      </c>
      <c r="O54" s="106">
        <f t="shared" si="40"/>
        <v>39</v>
      </c>
      <c r="P54" s="106">
        <f t="shared" si="40"/>
        <v>40</v>
      </c>
      <c r="Q54" s="106">
        <f t="shared" si="40"/>
        <v>22</v>
      </c>
      <c r="R54" s="106">
        <f t="shared" si="40"/>
        <v>16</v>
      </c>
      <c r="S54" s="106">
        <f t="shared" si="40"/>
        <v>16</v>
      </c>
      <c r="T54" s="106">
        <f t="shared" si="40"/>
        <v>14</v>
      </c>
      <c r="U54" s="106">
        <f t="shared" ref="U54:AA54" si="41">+U44</f>
        <v>16</v>
      </c>
      <c r="V54" s="348">
        <f t="shared" si="41"/>
        <v>24</v>
      </c>
      <c r="W54" s="85">
        <f t="shared" si="41"/>
        <v>0</v>
      </c>
      <c r="X54" s="85">
        <f t="shared" si="41"/>
        <v>2</v>
      </c>
      <c r="Y54" s="85">
        <f t="shared" si="41"/>
        <v>1</v>
      </c>
      <c r="Z54" s="246">
        <f t="shared" si="41"/>
        <v>-1</v>
      </c>
      <c r="AA54" s="22">
        <f t="shared" si="41"/>
        <v>-1</v>
      </c>
      <c r="AB54" s="22">
        <f>+AB44</f>
        <v>0</v>
      </c>
      <c r="AC54" s="22">
        <f>+AC44</f>
        <v>2</v>
      </c>
      <c r="AD54" s="22">
        <f>+AD44</f>
        <v>-6</v>
      </c>
      <c r="AE54" s="22">
        <f t="shared" ref="AE54:AH54" si="42">+AE44</f>
        <v>1</v>
      </c>
      <c r="AF54" s="22">
        <f t="shared" si="42"/>
        <v>7</v>
      </c>
      <c r="AG54" s="22">
        <f t="shared" si="42"/>
        <v>6</v>
      </c>
      <c r="AH54" s="22">
        <f t="shared" si="42"/>
        <v>5</v>
      </c>
    </row>
    <row r="55" spans="1:40" x14ac:dyDescent="0.2">
      <c r="A55" t="s">
        <v>273</v>
      </c>
      <c r="B55" t="s">
        <v>66</v>
      </c>
      <c r="C55" s="38">
        <f t="shared" ref="C55:T55" si="43">+C51</f>
        <v>0</v>
      </c>
      <c r="D55" s="38">
        <f t="shared" si="43"/>
        <v>0</v>
      </c>
      <c r="E55" s="38">
        <f t="shared" si="43"/>
        <v>0</v>
      </c>
      <c r="F55" s="38">
        <f t="shared" si="43"/>
        <v>0</v>
      </c>
      <c r="G55" s="38">
        <f t="shared" si="43"/>
        <v>0</v>
      </c>
      <c r="H55" s="38">
        <f t="shared" si="43"/>
        <v>-5</v>
      </c>
      <c r="I55" s="38">
        <f t="shared" si="43"/>
        <v>-5</v>
      </c>
      <c r="J55" s="38">
        <f t="shared" si="43"/>
        <v>-5</v>
      </c>
      <c r="K55" s="137">
        <f t="shared" si="43"/>
        <v>-4</v>
      </c>
      <c r="L55" s="137">
        <f t="shared" si="43"/>
        <v>-4</v>
      </c>
      <c r="M55" s="137">
        <f t="shared" si="43"/>
        <v>-4</v>
      </c>
      <c r="N55" s="137">
        <f t="shared" si="43"/>
        <v>-4</v>
      </c>
      <c r="O55" s="137">
        <f t="shared" si="43"/>
        <v>-4</v>
      </c>
      <c r="P55" s="137">
        <f t="shared" si="43"/>
        <v>-4</v>
      </c>
      <c r="Q55" s="137">
        <f t="shared" si="43"/>
        <v>0</v>
      </c>
      <c r="R55" s="137">
        <f t="shared" si="43"/>
        <v>0</v>
      </c>
      <c r="S55" s="137">
        <f t="shared" si="43"/>
        <v>0</v>
      </c>
      <c r="T55" s="137">
        <f t="shared" si="43"/>
        <v>0</v>
      </c>
      <c r="U55" s="137">
        <f t="shared" ref="U55:AA55" si="44">+U51</f>
        <v>0</v>
      </c>
      <c r="V55" s="355">
        <f t="shared" si="44"/>
        <v>0</v>
      </c>
      <c r="W55" s="92">
        <f t="shared" si="44"/>
        <v>0</v>
      </c>
      <c r="X55" s="92">
        <f t="shared" si="44"/>
        <v>0</v>
      </c>
      <c r="Y55" s="92">
        <f t="shared" si="44"/>
        <v>0</v>
      </c>
      <c r="Z55" s="254">
        <f t="shared" si="44"/>
        <v>0</v>
      </c>
      <c r="AA55" s="38">
        <f t="shared" si="44"/>
        <v>0</v>
      </c>
      <c r="AB55" s="38">
        <f>+AB51</f>
        <v>0</v>
      </c>
      <c r="AC55" s="38">
        <f>+AC51</f>
        <v>0</v>
      </c>
      <c r="AD55" s="38">
        <f>+AD51</f>
        <v>0</v>
      </c>
      <c r="AE55" s="38">
        <f t="shared" ref="AE55:AH55" si="45">+AE51</f>
        <v>0</v>
      </c>
      <c r="AF55" s="38">
        <f t="shared" si="45"/>
        <v>0</v>
      </c>
      <c r="AG55" s="38">
        <f t="shared" si="45"/>
        <v>0</v>
      </c>
      <c r="AH55" s="38">
        <f t="shared" si="45"/>
        <v>0</v>
      </c>
    </row>
    <row r="56" spans="1:40" s="18" customFormat="1" ht="16.5" thickBot="1" x14ac:dyDescent="0.3">
      <c r="A56" s="18" t="s">
        <v>136</v>
      </c>
      <c r="C56" s="27">
        <f t="shared" ref="C56:U56" si="46">SUM(C54:C55)</f>
        <v>6</v>
      </c>
      <c r="D56" s="27">
        <f t="shared" si="46"/>
        <v>14</v>
      </c>
      <c r="E56" s="27">
        <f t="shared" si="46"/>
        <v>16</v>
      </c>
      <c r="F56" s="27">
        <f t="shared" si="46"/>
        <v>22</v>
      </c>
      <c r="G56" s="27">
        <f t="shared" si="46"/>
        <v>19</v>
      </c>
      <c r="H56" s="27">
        <f t="shared" si="46"/>
        <v>16</v>
      </c>
      <c r="I56" s="27">
        <f t="shared" si="46"/>
        <v>10</v>
      </c>
      <c r="J56" s="27">
        <f t="shared" si="46"/>
        <v>36</v>
      </c>
      <c r="K56" s="138">
        <f t="shared" si="46"/>
        <v>36</v>
      </c>
      <c r="L56" s="138">
        <f t="shared" si="46"/>
        <v>37</v>
      </c>
      <c r="M56" s="138">
        <f t="shared" si="46"/>
        <v>39</v>
      </c>
      <c r="N56" s="138">
        <f t="shared" si="46"/>
        <v>38</v>
      </c>
      <c r="O56" s="138">
        <f t="shared" si="46"/>
        <v>35</v>
      </c>
      <c r="P56" s="138">
        <f t="shared" si="46"/>
        <v>36</v>
      </c>
      <c r="Q56" s="138">
        <f t="shared" si="46"/>
        <v>22</v>
      </c>
      <c r="R56" s="138">
        <f t="shared" si="46"/>
        <v>16</v>
      </c>
      <c r="S56" s="138">
        <f t="shared" si="46"/>
        <v>16</v>
      </c>
      <c r="T56" s="138">
        <f t="shared" si="46"/>
        <v>14</v>
      </c>
      <c r="U56" s="138">
        <f t="shared" si="46"/>
        <v>16</v>
      </c>
      <c r="V56" s="356">
        <f t="shared" ref="V56:AH56" si="47">SUM(V54:V55)</f>
        <v>24</v>
      </c>
      <c r="W56" s="93">
        <f t="shared" si="47"/>
        <v>0</v>
      </c>
      <c r="X56" s="93">
        <f t="shared" si="47"/>
        <v>2</v>
      </c>
      <c r="Y56" s="93">
        <f t="shared" si="47"/>
        <v>1</v>
      </c>
      <c r="Z56" s="255">
        <f t="shared" si="47"/>
        <v>-1</v>
      </c>
      <c r="AA56" s="27">
        <f t="shared" si="47"/>
        <v>-1</v>
      </c>
      <c r="AB56" s="27">
        <f t="shared" si="47"/>
        <v>0</v>
      </c>
      <c r="AC56" s="27">
        <f t="shared" si="47"/>
        <v>2</v>
      </c>
      <c r="AD56" s="27">
        <f t="shared" si="47"/>
        <v>-6</v>
      </c>
      <c r="AE56" s="27">
        <f t="shared" si="47"/>
        <v>1</v>
      </c>
      <c r="AF56" s="27">
        <f t="shared" si="47"/>
        <v>7</v>
      </c>
      <c r="AG56" s="27">
        <f t="shared" si="47"/>
        <v>6</v>
      </c>
      <c r="AH56" s="27">
        <f t="shared" si="47"/>
        <v>5</v>
      </c>
      <c r="AN56" s="177"/>
    </row>
    <row r="57" spans="1:40" ht="13.5" thickTop="1" x14ac:dyDescent="0.2"/>
    <row r="59" spans="1:40" x14ac:dyDescent="0.2">
      <c r="A59" s="28" t="s">
        <v>274</v>
      </c>
    </row>
    <row r="60" spans="1:40" x14ac:dyDescent="0.2">
      <c r="A60" t="s">
        <v>275</v>
      </c>
      <c r="C60" s="22">
        <f t="shared" ref="C60:H60" si="48">+C21</f>
        <v>80.314374999999984</v>
      </c>
      <c r="D60" s="22">
        <f t="shared" si="48"/>
        <v>189.16749999999996</v>
      </c>
      <c r="E60" s="22">
        <f t="shared" si="48"/>
        <v>212.80374999999998</v>
      </c>
      <c r="F60" s="22">
        <f t="shared" si="48"/>
        <v>291.82749999999999</v>
      </c>
      <c r="G60" s="22">
        <f t="shared" si="48"/>
        <v>250.57749999999999</v>
      </c>
      <c r="H60" s="22">
        <f t="shared" si="48"/>
        <v>276.31899999999996</v>
      </c>
      <c r="I60" s="22">
        <f t="shared" ref="I60:N60" si="49">+I21</f>
        <v>205.17179749999997</v>
      </c>
      <c r="J60" s="22">
        <f t="shared" si="49"/>
        <v>542.8445872499999</v>
      </c>
      <c r="K60" s="106">
        <f t="shared" si="49"/>
        <v>524.87023037499989</v>
      </c>
      <c r="L60" s="106">
        <f t="shared" si="49"/>
        <v>559.25104737499987</v>
      </c>
      <c r="M60" s="106">
        <f t="shared" si="49"/>
        <v>527.76802637499986</v>
      </c>
      <c r="N60" s="106">
        <f t="shared" si="49"/>
        <v>501.00473162499986</v>
      </c>
      <c r="O60" s="106">
        <f t="shared" ref="O60:T60" si="50">+O21</f>
        <v>531.21802162499989</v>
      </c>
      <c r="P60" s="106">
        <f t="shared" si="50"/>
        <v>472.64110162499986</v>
      </c>
      <c r="Q60" s="106">
        <f t="shared" si="50"/>
        <v>399.96002112499991</v>
      </c>
      <c r="R60" s="106">
        <f t="shared" si="50"/>
        <v>408.66164349999997</v>
      </c>
      <c r="S60" s="106">
        <f t="shared" si="50"/>
        <v>435.65021599999989</v>
      </c>
      <c r="T60" s="106">
        <f t="shared" si="50"/>
        <v>484.76914099999993</v>
      </c>
      <c r="U60" s="106">
        <f t="shared" ref="U60:Z60" si="51">+U21</f>
        <v>503.83737749999989</v>
      </c>
      <c r="V60" s="348">
        <f t="shared" si="51"/>
        <v>526.10487499999988</v>
      </c>
      <c r="W60" s="85">
        <f t="shared" si="51"/>
        <v>526.07215984999993</v>
      </c>
      <c r="X60" s="85">
        <f t="shared" si="51"/>
        <v>526.03963887774989</v>
      </c>
      <c r="Y60" s="85">
        <f t="shared" si="51"/>
        <v>526.00733211854117</v>
      </c>
      <c r="Z60" s="246">
        <f t="shared" si="51"/>
        <v>525.97526033625991</v>
      </c>
    </row>
    <row r="61" spans="1:40" x14ac:dyDescent="0.2">
      <c r="A61" t="s">
        <v>149</v>
      </c>
      <c r="C61" s="22">
        <f>-SUM($C$44:C44)</f>
        <v>-6</v>
      </c>
      <c r="D61" s="22">
        <f>-SUM($C$44:D44)</f>
        <v>-20</v>
      </c>
      <c r="E61" s="22">
        <f>-SUM($C$44:E44)</f>
        <v>-36</v>
      </c>
      <c r="F61" s="22">
        <f>-SUM($C$44:F44)</f>
        <v>-58</v>
      </c>
      <c r="G61" s="22">
        <f>-SUM($C$44:G44)+1</f>
        <v>-76</v>
      </c>
      <c r="H61" s="22">
        <f>-SUM($C$44:H44)+2</f>
        <v>-96</v>
      </c>
      <c r="I61" s="22">
        <f>-SUM($C$44:I44)+1</f>
        <v>-112</v>
      </c>
      <c r="J61" s="22">
        <f>-SUM($C$44:J44)+1</f>
        <v>-153</v>
      </c>
      <c r="K61" s="106">
        <f>-SUM($C$44:K44)+1</f>
        <v>-193</v>
      </c>
      <c r="L61" s="106">
        <f>-SUM($C$44:L44)+1</f>
        <v>-234</v>
      </c>
      <c r="M61" s="106">
        <f>-SUM($C$44:M44)+1</f>
        <v>-277</v>
      </c>
      <c r="N61" s="106">
        <f>-SUM($C$44:N44)+1</f>
        <v>-319</v>
      </c>
      <c r="O61" s="106">
        <f>-SUM($C$44:O44)+1</f>
        <v>-358</v>
      </c>
      <c r="P61" s="106">
        <f>-SUM($C$44:P44)+1</f>
        <v>-398</v>
      </c>
      <c r="Q61" s="106">
        <f>-SUM($C$44:Q44)+1</f>
        <v>-420</v>
      </c>
      <c r="R61" s="106">
        <f>-SUM($C$44:R44)+1</f>
        <v>-436</v>
      </c>
      <c r="S61" s="106">
        <f>-SUM($C$44:S44)+1</f>
        <v>-452</v>
      </c>
      <c r="T61" s="106">
        <f>-SUM($C$44:T44)+1</f>
        <v>-466</v>
      </c>
      <c r="U61" s="106">
        <f>-SUM($C$44:U44)+1</f>
        <v>-482</v>
      </c>
      <c r="V61" s="348">
        <f>-SUM($C$44:V44)+1</f>
        <v>-506</v>
      </c>
      <c r="W61" s="85">
        <f>-SUM($C$44:W44)+1</f>
        <v>-506</v>
      </c>
      <c r="X61" s="85">
        <f>-SUM($C$44:X44)+1</f>
        <v>-508</v>
      </c>
      <c r="Y61" s="85">
        <f>-SUM($C$44:Y44)+1</f>
        <v>-509</v>
      </c>
      <c r="Z61" s="246">
        <f>-SUM($C$44:Z44)+1</f>
        <v>-508</v>
      </c>
    </row>
    <row r="62" spans="1:40" x14ac:dyDescent="0.2">
      <c r="A62" t="s">
        <v>150</v>
      </c>
      <c r="C62" s="22">
        <f>-SUM($C$46:C46)</f>
        <v>0</v>
      </c>
      <c r="D62" s="22">
        <f>-SUM($C$46:D46)</f>
        <v>0</v>
      </c>
      <c r="E62" s="22">
        <f>-SUM($C$46:E46)</f>
        <v>0</v>
      </c>
      <c r="F62" s="22">
        <f>-SUM($C$46:F46)</f>
        <v>0</v>
      </c>
      <c r="G62" s="22">
        <f>-SUM($C$46:G46)</f>
        <v>0</v>
      </c>
      <c r="H62" s="22">
        <f>-SUM($C$46:H46)</f>
        <v>-39</v>
      </c>
      <c r="I62" s="22">
        <f>-SUM($C$46:I46)+1</f>
        <v>-38</v>
      </c>
      <c r="J62" s="22">
        <f>-SUM($C$46:J46)+1</f>
        <v>-38</v>
      </c>
      <c r="K62" s="106">
        <f>-SUM($C$46:K46)+1</f>
        <v>-38</v>
      </c>
      <c r="L62" s="106">
        <f>-SUM($C$46:L46)+1</f>
        <v>-38</v>
      </c>
      <c r="M62" s="106">
        <f>-SUM($C$46:M46)+1</f>
        <v>-38</v>
      </c>
      <c r="N62" s="106">
        <f>-SUM($C$46:N46)+1</f>
        <v>-38</v>
      </c>
      <c r="O62" s="106">
        <f>-SUM($C$46:O46)+1</f>
        <v>-38</v>
      </c>
      <c r="P62" s="106">
        <f>-SUM($C$46:P46)+1</f>
        <v>-38</v>
      </c>
      <c r="Q62" s="106">
        <f>-SUM($C$46:Q46)+1</f>
        <v>-38</v>
      </c>
      <c r="R62" s="106">
        <f>-SUM($C$46:R46)+1</f>
        <v>-38</v>
      </c>
      <c r="S62" s="106">
        <f>-SUM($C$46:S46)+1</f>
        <v>-38</v>
      </c>
      <c r="T62" s="106">
        <f>-SUM($C$46:T46)+1</f>
        <v>-38</v>
      </c>
      <c r="U62" s="106">
        <f>-SUM($C$46:U46)+1</f>
        <v>-38</v>
      </c>
      <c r="V62" s="348">
        <f>-SUM($C$46:V46)+1</f>
        <v>-38</v>
      </c>
      <c r="W62" s="85">
        <f>-SUM($C$46:W46)+1</f>
        <v>-38</v>
      </c>
      <c r="X62" s="85">
        <f>-SUM($C$46:X46)+1</f>
        <v>-38</v>
      </c>
      <c r="Y62" s="85">
        <f>-SUM($C$46:Y46)+1</f>
        <v>-38</v>
      </c>
      <c r="Z62" s="246">
        <f>-SUM($C$46:Z46)+1</f>
        <v>-38</v>
      </c>
    </row>
    <row r="63" spans="1:40" x14ac:dyDescent="0.2">
      <c r="A63" t="s">
        <v>151</v>
      </c>
      <c r="C63" s="38">
        <f>-SUM($C$51:C51)</f>
        <v>0</v>
      </c>
      <c r="D63" s="38">
        <f>-SUM($C$51:D51)</f>
        <v>0</v>
      </c>
      <c r="E63" s="38">
        <f>-SUM($C$51:E51)</f>
        <v>0</v>
      </c>
      <c r="F63" s="38">
        <f>-SUM($C$51:F51)</f>
        <v>0</v>
      </c>
      <c r="G63" s="38">
        <f>-SUM($C$51:G51)</f>
        <v>0</v>
      </c>
      <c r="H63" s="38">
        <f>-SUM($C$51:H51)</f>
        <v>5</v>
      </c>
      <c r="I63" s="38">
        <f>-SUM($C$51:I51)</f>
        <v>10</v>
      </c>
      <c r="J63" s="38">
        <f>-SUM($C$51:J51)</f>
        <v>15</v>
      </c>
      <c r="K63" s="137">
        <f>-SUM($C$51:K51)</f>
        <v>19</v>
      </c>
      <c r="L63" s="137">
        <f>-SUM($C$51:L51)</f>
        <v>23</v>
      </c>
      <c r="M63" s="137">
        <f>-SUM($C$51:M51)</f>
        <v>27</v>
      </c>
      <c r="N63" s="137">
        <f>-SUM($C$51:N51)</f>
        <v>31</v>
      </c>
      <c r="O63" s="137">
        <f>-SUM($C$51:O51)</f>
        <v>35</v>
      </c>
      <c r="P63" s="137">
        <f>-SUM($C$51:P51)</f>
        <v>39</v>
      </c>
      <c r="Q63" s="137">
        <f>-SUM($C$51:Q51)</f>
        <v>39</v>
      </c>
      <c r="R63" s="137">
        <f>-SUM($C$51:R51)</f>
        <v>39</v>
      </c>
      <c r="S63" s="137">
        <f>-SUM($C$51:S51)</f>
        <v>39</v>
      </c>
      <c r="T63" s="137">
        <f>-SUM($C$51:T51)</f>
        <v>39</v>
      </c>
      <c r="U63" s="137">
        <f>-SUM($C$51:U51)</f>
        <v>39</v>
      </c>
      <c r="V63" s="355">
        <f>-SUM($C$51:V51)</f>
        <v>39</v>
      </c>
      <c r="W63" s="92">
        <f>-SUM($C$51:W51)</f>
        <v>39</v>
      </c>
      <c r="X63" s="92">
        <f>-SUM($C$51:X51)</f>
        <v>39</v>
      </c>
      <c r="Y63" s="92">
        <f>-SUM($C$51:Y51)</f>
        <v>39</v>
      </c>
      <c r="Z63" s="254">
        <f>-SUM($C$51:Z51)</f>
        <v>39</v>
      </c>
    </row>
    <row r="64" spans="1:40" s="18" customFormat="1" ht="16.5" thickBot="1" x14ac:dyDescent="0.3">
      <c r="A64" s="18" t="s">
        <v>148</v>
      </c>
      <c r="C64" s="27">
        <f t="shared" ref="C64:J64" si="52">SUM(C60:C63)</f>
        <v>74.314374999999984</v>
      </c>
      <c r="D64" s="27">
        <f t="shared" si="52"/>
        <v>169.16749999999996</v>
      </c>
      <c r="E64" s="27">
        <f t="shared" si="52"/>
        <v>176.80374999999998</v>
      </c>
      <c r="F64" s="27">
        <f t="shared" si="52"/>
        <v>233.82749999999999</v>
      </c>
      <c r="G64" s="27">
        <f t="shared" si="52"/>
        <v>174.57749999999999</v>
      </c>
      <c r="H64" s="27">
        <f t="shared" si="52"/>
        <v>146.31899999999996</v>
      </c>
      <c r="I64" s="27">
        <f t="shared" si="52"/>
        <v>65.171797499999968</v>
      </c>
      <c r="J64" s="27">
        <f t="shared" si="52"/>
        <v>366.8445872499999</v>
      </c>
      <c r="K64" s="138">
        <f t="shared" ref="K64:X64" si="53">SUM(K60:K63)</f>
        <v>312.87023037499989</v>
      </c>
      <c r="L64" s="138">
        <f t="shared" si="53"/>
        <v>310.25104737499987</v>
      </c>
      <c r="M64" s="138">
        <f t="shared" si="53"/>
        <v>239.76802637499986</v>
      </c>
      <c r="N64" s="138">
        <f t="shared" si="53"/>
        <v>175.00473162499986</v>
      </c>
      <c r="O64" s="138">
        <f t="shared" si="53"/>
        <v>170.21802162499989</v>
      </c>
      <c r="P64" s="138">
        <f t="shared" si="53"/>
        <v>75.641101624999862</v>
      </c>
      <c r="Q64" s="138">
        <f t="shared" si="53"/>
        <v>-19.039978875000088</v>
      </c>
      <c r="R64" s="138">
        <f t="shared" si="53"/>
        <v>-26.338356500000032</v>
      </c>
      <c r="S64" s="138">
        <f t="shared" si="53"/>
        <v>-15.349784000000113</v>
      </c>
      <c r="T64" s="138">
        <f t="shared" si="53"/>
        <v>19.769140999999934</v>
      </c>
      <c r="U64" s="138">
        <f t="shared" si="53"/>
        <v>22.837377499999889</v>
      </c>
      <c r="V64" s="356">
        <f t="shared" si="53"/>
        <v>21.104874999999879</v>
      </c>
      <c r="W64" s="93">
        <f t="shared" si="53"/>
        <v>21.072159849999935</v>
      </c>
      <c r="X64" s="93">
        <f t="shared" si="53"/>
        <v>19.039638877749894</v>
      </c>
      <c r="Y64" s="93">
        <f t="shared" ref="Y64:Z64" si="54">SUM(Y60:Y63)</f>
        <v>18.007332118541171</v>
      </c>
      <c r="Z64" s="255">
        <f t="shared" si="54"/>
        <v>18.975260336259907</v>
      </c>
      <c r="AN64" s="177"/>
    </row>
    <row r="65" spans="1:26" ht="13.5" thickTop="1" x14ac:dyDescent="0.2"/>
    <row r="66" spans="1:26" x14ac:dyDescent="0.2">
      <c r="A66" s="2" t="s">
        <v>298</v>
      </c>
    </row>
    <row r="67" spans="1:26" x14ac:dyDescent="0.2">
      <c r="A67" t="s">
        <v>299</v>
      </c>
      <c r="C67" s="22">
        <f t="shared" ref="C67:J67" si="55">B64</f>
        <v>0</v>
      </c>
      <c r="D67" s="22">
        <f t="shared" si="55"/>
        <v>74.314374999999984</v>
      </c>
      <c r="E67" s="22">
        <f t="shared" si="55"/>
        <v>169.16749999999996</v>
      </c>
      <c r="F67" s="22">
        <f t="shared" si="55"/>
        <v>176.80374999999998</v>
      </c>
      <c r="G67" s="22">
        <f t="shared" si="55"/>
        <v>233.82749999999999</v>
      </c>
      <c r="H67" s="22">
        <f t="shared" si="55"/>
        <v>174.57749999999999</v>
      </c>
      <c r="I67" s="22">
        <f t="shared" si="55"/>
        <v>146.31899999999996</v>
      </c>
      <c r="J67" s="22">
        <f t="shared" si="55"/>
        <v>65.171797499999968</v>
      </c>
      <c r="K67" s="106">
        <f t="shared" ref="K67:Z67" si="56">J64</f>
        <v>366.8445872499999</v>
      </c>
      <c r="L67" s="106">
        <f t="shared" si="56"/>
        <v>312.87023037499989</v>
      </c>
      <c r="M67" s="106">
        <f t="shared" si="56"/>
        <v>310.25104737499987</v>
      </c>
      <c r="N67" s="106">
        <f t="shared" si="56"/>
        <v>239.76802637499986</v>
      </c>
      <c r="O67" s="106">
        <f t="shared" si="56"/>
        <v>175.00473162499986</v>
      </c>
      <c r="P67" s="106">
        <f t="shared" si="56"/>
        <v>170.21802162499989</v>
      </c>
      <c r="Q67" s="106">
        <f t="shared" si="56"/>
        <v>75.641101624999862</v>
      </c>
      <c r="R67" s="106">
        <f t="shared" si="56"/>
        <v>-19.039978875000088</v>
      </c>
      <c r="S67" s="106">
        <f t="shared" si="56"/>
        <v>-26.338356500000032</v>
      </c>
      <c r="T67" s="106">
        <f t="shared" si="56"/>
        <v>-15.349784000000113</v>
      </c>
      <c r="U67" s="106">
        <f t="shared" si="56"/>
        <v>19.769140999999934</v>
      </c>
      <c r="V67" s="348">
        <f t="shared" si="56"/>
        <v>22.837377499999889</v>
      </c>
      <c r="W67" s="85">
        <f t="shared" si="56"/>
        <v>21.104874999999879</v>
      </c>
      <c r="X67" s="85">
        <f t="shared" si="56"/>
        <v>21.072159849999935</v>
      </c>
      <c r="Y67" s="85">
        <f t="shared" si="56"/>
        <v>19.039638877749894</v>
      </c>
      <c r="Z67" s="246">
        <f t="shared" si="56"/>
        <v>18.007332118541171</v>
      </c>
    </row>
    <row r="68" spans="1:26" x14ac:dyDescent="0.2">
      <c r="A68" t="s">
        <v>300</v>
      </c>
      <c r="C68" s="22">
        <f t="shared" ref="C68:I68" si="57">-C56</f>
        <v>-6</v>
      </c>
      <c r="D68" s="22">
        <f t="shared" si="57"/>
        <v>-14</v>
      </c>
      <c r="E68" s="22">
        <f t="shared" si="57"/>
        <v>-16</v>
      </c>
      <c r="F68" s="22">
        <f t="shared" si="57"/>
        <v>-22</v>
      </c>
      <c r="G68" s="22">
        <f t="shared" si="57"/>
        <v>-19</v>
      </c>
      <c r="H68" s="22">
        <f t="shared" si="57"/>
        <v>-16</v>
      </c>
      <c r="I68" s="22">
        <f t="shared" si="57"/>
        <v>-10</v>
      </c>
      <c r="J68" s="22">
        <f t="shared" ref="J68:P68" si="58">-J56</f>
        <v>-36</v>
      </c>
      <c r="K68" s="106">
        <f t="shared" si="58"/>
        <v>-36</v>
      </c>
      <c r="L68" s="106">
        <f t="shared" si="58"/>
        <v>-37</v>
      </c>
      <c r="M68" s="106">
        <f t="shared" si="58"/>
        <v>-39</v>
      </c>
      <c r="N68" s="106">
        <f t="shared" si="58"/>
        <v>-38</v>
      </c>
      <c r="O68" s="106">
        <f t="shared" si="58"/>
        <v>-35</v>
      </c>
      <c r="P68" s="106">
        <f t="shared" si="58"/>
        <v>-36</v>
      </c>
      <c r="Q68" s="106">
        <f t="shared" ref="Q68:V68" si="59">-Q56</f>
        <v>-22</v>
      </c>
      <c r="R68" s="106">
        <f t="shared" si="59"/>
        <v>-16</v>
      </c>
      <c r="S68" s="106">
        <f t="shared" si="59"/>
        <v>-16</v>
      </c>
      <c r="T68" s="106">
        <f t="shared" si="59"/>
        <v>-14</v>
      </c>
      <c r="U68" s="106">
        <f t="shared" si="59"/>
        <v>-16</v>
      </c>
      <c r="V68" s="348">
        <f t="shared" si="59"/>
        <v>-24</v>
      </c>
      <c r="W68" s="85">
        <f>-W56</f>
        <v>0</v>
      </c>
      <c r="X68" s="85">
        <f>-X56</f>
        <v>-2</v>
      </c>
      <c r="Y68" s="85">
        <f>-Y56</f>
        <v>-1</v>
      </c>
      <c r="Z68" s="246">
        <f>-Z56</f>
        <v>1</v>
      </c>
    </row>
    <row r="69" spans="1:26" x14ac:dyDescent="0.2">
      <c r="A69" t="s">
        <v>301</v>
      </c>
      <c r="C69" s="22">
        <f t="shared" ref="C69:I69" si="60">C16</f>
        <v>80.314374999999984</v>
      </c>
      <c r="D69" s="22">
        <f t="shared" si="60"/>
        <v>108.85312499999998</v>
      </c>
      <c r="E69" s="22">
        <f t="shared" si="60"/>
        <v>23.636250000000018</v>
      </c>
      <c r="F69" s="22">
        <f t="shared" si="60"/>
        <v>79.023750000000007</v>
      </c>
      <c r="G69" s="22">
        <f t="shared" si="60"/>
        <v>-41.25</v>
      </c>
      <c r="H69" s="22">
        <f t="shared" si="60"/>
        <v>25.741499999999974</v>
      </c>
      <c r="I69" s="22">
        <f t="shared" si="60"/>
        <v>-71.147202499999992</v>
      </c>
      <c r="J69" s="22">
        <f t="shared" ref="J69:P69" si="61">J16</f>
        <v>337.67278974999999</v>
      </c>
      <c r="K69" s="106">
        <f t="shared" si="61"/>
        <v>-17.974356875000041</v>
      </c>
      <c r="L69" s="106">
        <f t="shared" si="61"/>
        <v>34.380817000000036</v>
      </c>
      <c r="M69" s="106">
        <f t="shared" si="61"/>
        <v>-31.483021000000008</v>
      </c>
      <c r="N69" s="106">
        <f t="shared" si="61"/>
        <v>-26.76329475</v>
      </c>
      <c r="O69" s="106">
        <f t="shared" si="61"/>
        <v>30.213290000000001</v>
      </c>
      <c r="P69" s="106">
        <f t="shared" si="61"/>
        <v>-58.57692000000003</v>
      </c>
      <c r="Q69" s="106">
        <f t="shared" ref="Q69:V69" si="62">Q16</f>
        <v>-72.68108049999995</v>
      </c>
      <c r="R69" s="106">
        <f t="shared" si="62"/>
        <v>8.7016223750000563</v>
      </c>
      <c r="S69" s="106">
        <f t="shared" si="62"/>
        <v>26.988572499999918</v>
      </c>
      <c r="T69" s="106">
        <f t="shared" si="62"/>
        <v>49.118925000000047</v>
      </c>
      <c r="U69" s="106">
        <f t="shared" si="62"/>
        <v>19.068236499999955</v>
      </c>
      <c r="V69" s="348">
        <f t="shared" si="62"/>
        <v>22.26749749999999</v>
      </c>
      <c r="W69" s="85">
        <f>W16</f>
        <v>-3.2715150000001358E-2</v>
      </c>
      <c r="X69" s="85">
        <f>X16</f>
        <v>-3.2520972249983515E-2</v>
      </c>
      <c r="Y69" s="85">
        <f>Y16</f>
        <v>-3.2306759208722724E-2</v>
      </c>
      <c r="Z69" s="246">
        <f>Z16</f>
        <v>-3.2071782281207106E-2</v>
      </c>
    </row>
    <row r="70" spans="1:26" x14ac:dyDescent="0.2">
      <c r="A70" t="s">
        <v>302</v>
      </c>
      <c r="C70" s="22">
        <f t="shared" ref="C70:I70" si="63">-C46</f>
        <v>0</v>
      </c>
      <c r="D70" s="22">
        <f t="shared" si="63"/>
        <v>0</v>
      </c>
      <c r="E70" s="22">
        <f t="shared" si="63"/>
        <v>0</v>
      </c>
      <c r="F70" s="22">
        <f t="shared" si="63"/>
        <v>0</v>
      </c>
      <c r="G70" s="22">
        <f t="shared" si="63"/>
        <v>0</v>
      </c>
      <c r="H70" s="22">
        <f t="shared" si="63"/>
        <v>-39</v>
      </c>
      <c r="I70" s="22">
        <f t="shared" si="63"/>
        <v>0</v>
      </c>
      <c r="J70" s="22">
        <f t="shared" ref="J70:P70" si="64">-J46</f>
        <v>0</v>
      </c>
      <c r="K70" s="106">
        <f t="shared" si="64"/>
        <v>0</v>
      </c>
      <c r="L70" s="106">
        <f t="shared" si="64"/>
        <v>0</v>
      </c>
      <c r="M70" s="106">
        <f t="shared" si="64"/>
        <v>0</v>
      </c>
      <c r="N70" s="106">
        <f t="shared" si="64"/>
        <v>0</v>
      </c>
      <c r="O70" s="106">
        <f t="shared" si="64"/>
        <v>0</v>
      </c>
      <c r="P70" s="106">
        <f t="shared" si="64"/>
        <v>0</v>
      </c>
      <c r="Q70" s="106">
        <f t="shared" ref="Q70:V70" si="65">-Q46</f>
        <v>0</v>
      </c>
      <c r="R70" s="106">
        <f t="shared" si="65"/>
        <v>0</v>
      </c>
      <c r="S70" s="106">
        <f t="shared" si="65"/>
        <v>0</v>
      </c>
      <c r="T70" s="106">
        <f t="shared" si="65"/>
        <v>0</v>
      </c>
      <c r="U70" s="106">
        <f t="shared" si="65"/>
        <v>0</v>
      </c>
      <c r="V70" s="348">
        <f t="shared" si="65"/>
        <v>0</v>
      </c>
      <c r="W70" s="85">
        <f>-W46</f>
        <v>0</v>
      </c>
      <c r="X70" s="85">
        <f>-X46</f>
        <v>0</v>
      </c>
      <c r="Y70" s="85">
        <f>-Y46</f>
        <v>0</v>
      </c>
      <c r="Z70" s="246">
        <f>-Z46</f>
        <v>0</v>
      </c>
    </row>
    <row r="71" spans="1:26" ht="13.5" thickBot="1" x14ac:dyDescent="0.25">
      <c r="A71" t="s">
        <v>303</v>
      </c>
      <c r="C71" s="67">
        <f t="shared" ref="C71:J71" si="66">SUM(C67:C70)</f>
        <v>74.314374999999984</v>
      </c>
      <c r="D71" s="67">
        <f t="shared" si="66"/>
        <v>169.16749999999996</v>
      </c>
      <c r="E71" s="67">
        <f t="shared" si="66"/>
        <v>176.80374999999998</v>
      </c>
      <c r="F71" s="67">
        <f t="shared" si="66"/>
        <v>233.82749999999999</v>
      </c>
      <c r="G71" s="67">
        <f t="shared" si="66"/>
        <v>173.57749999999999</v>
      </c>
      <c r="H71" s="67">
        <f t="shared" si="66"/>
        <v>145.31899999999996</v>
      </c>
      <c r="I71" s="67">
        <f t="shared" si="66"/>
        <v>65.171797499999968</v>
      </c>
      <c r="J71" s="67">
        <f t="shared" si="66"/>
        <v>366.84458724999996</v>
      </c>
      <c r="K71" s="149">
        <f t="shared" ref="K71:X71" si="67">SUM(K67:K70)</f>
        <v>312.87023037499989</v>
      </c>
      <c r="L71" s="149">
        <f t="shared" si="67"/>
        <v>310.25104737499993</v>
      </c>
      <c r="M71" s="149">
        <f t="shared" si="67"/>
        <v>239.76802637499986</v>
      </c>
      <c r="N71" s="149">
        <f t="shared" si="67"/>
        <v>175.00473162499986</v>
      </c>
      <c r="O71" s="149">
        <f t="shared" si="67"/>
        <v>170.21802162499986</v>
      </c>
      <c r="P71" s="149">
        <f t="shared" si="67"/>
        <v>75.641101624999862</v>
      </c>
      <c r="Q71" s="149">
        <f t="shared" si="67"/>
        <v>-19.039978875000088</v>
      </c>
      <c r="R71" s="149">
        <f t="shared" si="67"/>
        <v>-26.338356500000032</v>
      </c>
      <c r="S71" s="149">
        <f t="shared" si="67"/>
        <v>-15.349784000000113</v>
      </c>
      <c r="T71" s="149">
        <f t="shared" si="67"/>
        <v>19.769140999999934</v>
      </c>
      <c r="U71" s="149">
        <f t="shared" si="67"/>
        <v>22.837377499999889</v>
      </c>
      <c r="V71" s="358">
        <f t="shared" si="67"/>
        <v>21.104874999999879</v>
      </c>
      <c r="W71" s="113">
        <f t="shared" si="67"/>
        <v>21.072159849999878</v>
      </c>
      <c r="X71" s="113">
        <f t="shared" si="67"/>
        <v>19.039638877749951</v>
      </c>
      <c r="Y71" s="113">
        <f t="shared" ref="Y71:Z71" si="68">SUM(Y67:Y70)</f>
        <v>18.007332118541171</v>
      </c>
      <c r="Z71" s="260">
        <f t="shared" si="68"/>
        <v>18.975260336259964</v>
      </c>
    </row>
    <row r="72" spans="1:26" ht="13.5" thickTop="1" x14ac:dyDescent="0.2"/>
    <row r="73" spans="1:26" x14ac:dyDescent="0.2">
      <c r="G73" s="22">
        <f t="shared" ref="G73:N73" si="69">G64-G71</f>
        <v>1</v>
      </c>
      <c r="H73" s="22">
        <f t="shared" si="69"/>
        <v>1</v>
      </c>
      <c r="I73" s="22">
        <f t="shared" si="69"/>
        <v>0</v>
      </c>
      <c r="J73" s="22">
        <f t="shared" si="69"/>
        <v>0</v>
      </c>
      <c r="K73" s="106">
        <f t="shared" si="69"/>
        <v>0</v>
      </c>
      <c r="L73" s="106">
        <f t="shared" si="69"/>
        <v>0</v>
      </c>
      <c r="M73" s="106">
        <f t="shared" si="69"/>
        <v>0</v>
      </c>
      <c r="N73" s="106">
        <f t="shared" si="69"/>
        <v>0</v>
      </c>
      <c r="O73" s="106">
        <f t="shared" ref="O73:U73" si="70">O64-O71</f>
        <v>0</v>
      </c>
      <c r="P73" s="106">
        <f t="shared" si="70"/>
        <v>0</v>
      </c>
      <c r="Q73" s="106">
        <f t="shared" si="70"/>
        <v>0</v>
      </c>
      <c r="R73" s="106">
        <f t="shared" si="70"/>
        <v>0</v>
      </c>
      <c r="S73" s="106">
        <f t="shared" si="70"/>
        <v>0</v>
      </c>
      <c r="T73" s="106">
        <f t="shared" si="70"/>
        <v>0</v>
      </c>
      <c r="U73" s="106">
        <f t="shared" si="70"/>
        <v>0</v>
      </c>
      <c r="V73" s="348">
        <f>V64-V71</f>
        <v>0</v>
      </c>
      <c r="W73" s="85">
        <f>W64-W71</f>
        <v>5.6843418860808015E-14</v>
      </c>
      <c r="X73" s="85">
        <f>X64-X71</f>
        <v>-5.6843418860808015E-14</v>
      </c>
      <c r="Y73" s="85">
        <f>Y64-Y71</f>
        <v>0</v>
      </c>
      <c r="Z73" s="246">
        <f>Z64-Z71</f>
        <v>-5.6843418860808015E-14</v>
      </c>
    </row>
    <row r="74" spans="1:26" x14ac:dyDescent="0.2">
      <c r="H74" s="22"/>
    </row>
  </sheetData>
  <phoneticPr fontId="0" type="noConversion"/>
  <pageMargins left="0.5" right="0.5" top="0.32" bottom="0.53" header="0.27" footer="0.26"/>
  <pageSetup paperSize="5" scale="40" orientation="landscape" r:id="rId1"/>
  <headerFooter alignWithMargins="0">
    <oddFooter>&amp;L&amp;"Arial,Bold"&amp;F&amp;C&amp;A&amp;R&amp;D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workbookViewId="0">
      <pane xSplit="2" ySplit="4" topLeftCell="C5" activePane="bottomRight" state="frozen"/>
      <selection activeCell="AF39" sqref="AF39"/>
      <selection pane="topRight" activeCell="AF39" sqref="AF39"/>
      <selection pane="bottomLeft" activeCell="AF39" sqref="AF39"/>
      <selection pane="bottomRight"/>
    </sheetView>
  </sheetViews>
  <sheetFormatPr baseColWidth="10" defaultColWidth="9.140625" defaultRowHeight="12.75" x14ac:dyDescent="0.2"/>
  <cols>
    <col min="1" max="1" width="53.28515625" customWidth="1"/>
    <col min="2" max="2" width="22" customWidth="1"/>
    <col min="33" max="33" width="11.5703125" customWidth="1"/>
    <col min="34" max="34" width="9.28515625" customWidth="1"/>
  </cols>
  <sheetData>
    <row r="1" spans="1:34" ht="15.75" x14ac:dyDescent="0.25">
      <c r="A1" s="18" t="s">
        <v>258</v>
      </c>
    </row>
    <row r="2" spans="1:34" x14ac:dyDescent="0.2">
      <c r="A2" s="2" t="s">
        <v>250</v>
      </c>
    </row>
    <row r="3" spans="1:34" x14ac:dyDescent="0.2">
      <c r="AG3" s="16" t="s">
        <v>106</v>
      </c>
      <c r="AH3">
        <f>'RCA data'!$I$14</f>
        <v>39</v>
      </c>
    </row>
    <row r="4" spans="1:34" s="2" customFormat="1" ht="13.5" thickBot="1" x14ac:dyDescent="0.25">
      <c r="A4" s="19" t="s">
        <v>1</v>
      </c>
      <c r="B4" s="20" t="s">
        <v>26</v>
      </c>
      <c r="C4" s="20">
        <v>2001</v>
      </c>
      <c r="D4" s="20">
        <v>2002</v>
      </c>
      <c r="E4" s="20">
        <v>2003</v>
      </c>
      <c r="F4" s="20">
        <v>2004</v>
      </c>
      <c r="G4" s="20">
        <v>2005</v>
      </c>
      <c r="H4" s="20">
        <v>2006</v>
      </c>
      <c r="I4" s="20">
        <v>2007</v>
      </c>
      <c r="J4" s="20">
        <v>2008</v>
      </c>
      <c r="K4" s="20">
        <v>2009</v>
      </c>
      <c r="L4" s="20">
        <v>2010</v>
      </c>
      <c r="M4" s="20">
        <v>2011</v>
      </c>
      <c r="N4" s="20">
        <v>2012</v>
      </c>
      <c r="O4" s="20">
        <v>2013</v>
      </c>
      <c r="P4" s="20">
        <v>2014</v>
      </c>
      <c r="Q4" s="20">
        <v>2015</v>
      </c>
      <c r="R4" s="20">
        <v>2016</v>
      </c>
      <c r="S4" s="73">
        <v>2017</v>
      </c>
      <c r="T4" s="73">
        <v>2018</v>
      </c>
      <c r="U4" s="73">
        <v>2019</v>
      </c>
      <c r="V4" s="73">
        <v>2020</v>
      </c>
      <c r="W4" s="73">
        <v>2021</v>
      </c>
      <c r="X4" s="73">
        <v>2021</v>
      </c>
      <c r="Y4" s="73">
        <v>2022</v>
      </c>
      <c r="Z4" s="73">
        <v>2023</v>
      </c>
      <c r="AA4" s="73">
        <v>2024</v>
      </c>
      <c r="AB4" s="73">
        <v>2025</v>
      </c>
      <c r="AC4" s="73">
        <v>2026</v>
      </c>
      <c r="AD4" s="73"/>
      <c r="AE4" s="73"/>
      <c r="AF4" s="73"/>
      <c r="AG4" s="17" t="s">
        <v>125</v>
      </c>
      <c r="AH4" s="17" t="s">
        <v>109</v>
      </c>
    </row>
    <row r="7" spans="1:34" x14ac:dyDescent="0.2">
      <c r="A7" s="28" t="s">
        <v>113</v>
      </c>
    </row>
    <row r="8" spans="1:34" s="3" customFormat="1" x14ac:dyDescent="0.2">
      <c r="A8" s="3" t="s">
        <v>96</v>
      </c>
      <c r="B8" s="3" t="s">
        <v>265</v>
      </c>
      <c r="C8" s="3">
        <f>'RCA exp g(l)'!H24</f>
        <v>6</v>
      </c>
      <c r="D8" s="3">
        <f>'RCA exp g(l)'!I24</f>
        <v>6</v>
      </c>
      <c r="E8" s="3">
        <f>'RCA exp g(l)'!J24</f>
        <v>6</v>
      </c>
      <c r="F8" s="3">
        <f>'RCA exp g(l)'!K24</f>
        <v>6</v>
      </c>
      <c r="G8" s="3">
        <f>'RCA exp g(l)'!L24</f>
        <v>6</v>
      </c>
      <c r="H8" s="3">
        <f>'RCA exp g(l)'!M24</f>
        <v>5</v>
      </c>
      <c r="I8" s="3">
        <f>'RCA exp g(l)'!N24</f>
        <v>5</v>
      </c>
      <c r="J8" s="3">
        <f>'RCA exp g(l)'!O24</f>
        <v>5</v>
      </c>
      <c r="K8" s="3">
        <f>'RCA exp g(l)'!P24</f>
        <v>5</v>
      </c>
      <c r="L8" s="3">
        <f>'RCA exp g(l)'!Q24</f>
        <v>0</v>
      </c>
      <c r="M8" s="3">
        <f>'RCA exp g(l)'!R24</f>
        <v>0</v>
      </c>
      <c r="N8" s="3">
        <f>'RCA exp g(l)'!S24</f>
        <v>0</v>
      </c>
      <c r="O8" s="3">
        <f>'RCA exp g(l)'!T24</f>
        <v>0</v>
      </c>
      <c r="P8" s="3">
        <f>'RCA exp g(l)'!U24</f>
        <v>0</v>
      </c>
      <c r="Q8" s="3">
        <f>'RCA exp g(l)'!V24</f>
        <v>0</v>
      </c>
      <c r="AG8" s="3">
        <f>SUM(C8:Y8)</f>
        <v>50</v>
      </c>
      <c r="AH8" s="3">
        <v>39</v>
      </c>
    </row>
    <row r="9" spans="1:34" s="3" customFormat="1" x14ac:dyDescent="0.2">
      <c r="A9" s="3" t="s">
        <v>97</v>
      </c>
      <c r="B9" s="3" t="s">
        <v>265</v>
      </c>
      <c r="C9" s="3">
        <f>'RCA exp g(l)'!H25</f>
        <v>8</v>
      </c>
      <c r="D9" s="3">
        <f>'RCA exp g(l)'!I25</f>
        <v>8</v>
      </c>
      <c r="E9" s="3">
        <f>'RCA exp g(l)'!J25</f>
        <v>8</v>
      </c>
      <c r="F9" s="3">
        <f>'RCA exp g(l)'!K25</f>
        <v>8</v>
      </c>
      <c r="G9" s="3">
        <f>'RCA exp g(l)'!L25</f>
        <v>9</v>
      </c>
      <c r="H9" s="3">
        <f>'RCA exp g(l)'!M25</f>
        <v>9</v>
      </c>
      <c r="I9" s="3">
        <f>'RCA exp g(l)'!N25</f>
        <v>9</v>
      </c>
      <c r="J9" s="3">
        <f>'RCA exp g(l)'!O25</f>
        <v>9</v>
      </c>
      <c r="K9" s="3">
        <f>'RCA exp g(l)'!P25</f>
        <v>9</v>
      </c>
      <c r="L9" s="3">
        <f>'RCA exp g(l)'!Q25</f>
        <v>0</v>
      </c>
      <c r="M9" s="3">
        <f>'RCA exp g(l)'!R25</f>
        <v>0</v>
      </c>
      <c r="N9" s="3">
        <f>'RCA exp g(l)'!S25</f>
        <v>0</v>
      </c>
      <c r="O9" s="3">
        <f>'RCA exp g(l)'!T25</f>
        <v>0</v>
      </c>
      <c r="P9" s="3">
        <f>'RCA exp g(l)'!U25</f>
        <v>0</v>
      </c>
      <c r="Q9" s="3">
        <f>'RCA exp g(l)'!V25</f>
        <v>0</v>
      </c>
      <c r="AG9" s="3">
        <f>SUM(C9:Y9)</f>
        <v>77</v>
      </c>
    </row>
    <row r="10" spans="1:34" s="3" customFormat="1" x14ac:dyDescent="0.2">
      <c r="A10" s="3" t="s">
        <v>98</v>
      </c>
      <c r="B10" s="3" t="s">
        <v>265</v>
      </c>
      <c r="C10" s="3">
        <f>'RCA exp g(l)'!H26</f>
        <v>2</v>
      </c>
      <c r="D10" s="3">
        <f>'RCA exp g(l)'!I26</f>
        <v>2</v>
      </c>
      <c r="E10" s="3">
        <f>'RCA exp g(l)'!J26</f>
        <v>2</v>
      </c>
      <c r="F10" s="3">
        <f>'RCA exp g(l)'!K26</f>
        <v>2</v>
      </c>
      <c r="G10" s="3">
        <f>'RCA exp g(l)'!L26</f>
        <v>2</v>
      </c>
      <c r="H10" s="3">
        <f>'RCA exp g(l)'!M26</f>
        <v>2</v>
      </c>
      <c r="I10" s="3">
        <f>'RCA exp g(l)'!N26</f>
        <v>2</v>
      </c>
      <c r="J10" s="3">
        <f>'RCA exp g(l)'!O26</f>
        <v>2</v>
      </c>
      <c r="K10" s="3">
        <f>'RCA exp g(l)'!P26</f>
        <v>1</v>
      </c>
      <c r="L10" s="3">
        <f>'RCA exp g(l)'!Q26</f>
        <v>1</v>
      </c>
      <c r="M10" s="3">
        <f>'RCA exp g(l)'!R26</f>
        <v>0</v>
      </c>
      <c r="N10" s="3">
        <f>'RCA exp g(l)'!S26</f>
        <v>0</v>
      </c>
      <c r="O10" s="3">
        <f>'RCA exp g(l)'!T26</f>
        <v>0</v>
      </c>
      <c r="P10" s="3">
        <f>'RCA exp g(l)'!U26</f>
        <v>0</v>
      </c>
      <c r="Q10" s="3">
        <f>'RCA exp g(l)'!V26</f>
        <v>0</v>
      </c>
      <c r="AG10" s="3">
        <f>SUM(C10:Y10)</f>
        <v>18</v>
      </c>
    </row>
    <row r="11" spans="1:34" s="3" customFormat="1" x14ac:dyDescent="0.2">
      <c r="A11" s="3" t="s">
        <v>99</v>
      </c>
      <c r="B11" s="3" t="s">
        <v>265</v>
      </c>
      <c r="C11" s="3">
        <f>'RCA exp g(l)'!H27</f>
        <v>6</v>
      </c>
      <c r="D11" s="3">
        <f>'RCA exp g(l)'!I27</f>
        <v>6</v>
      </c>
      <c r="E11" s="3">
        <f>'RCA exp g(l)'!J27</f>
        <v>6</v>
      </c>
      <c r="F11" s="3">
        <f>'RCA exp g(l)'!K27</f>
        <v>6</v>
      </c>
      <c r="G11" s="3">
        <f>'RCA exp g(l)'!L27</f>
        <v>6</v>
      </c>
      <c r="H11" s="3">
        <f>'RCA exp g(l)'!M27</f>
        <v>6</v>
      </c>
      <c r="I11" s="3">
        <f>'RCA exp g(l)'!N27</f>
        <v>6</v>
      </c>
      <c r="J11" s="3">
        <f>'RCA exp g(l)'!O27</f>
        <v>5</v>
      </c>
      <c r="K11" s="3">
        <f>'RCA exp g(l)'!P27</f>
        <v>5</v>
      </c>
      <c r="L11" s="3">
        <f>'RCA exp g(l)'!Q27</f>
        <v>5</v>
      </c>
      <c r="M11" s="3">
        <f>'RCA exp g(l)'!R27</f>
        <v>5</v>
      </c>
      <c r="N11" s="3">
        <f>'RCA exp g(l)'!S27</f>
        <v>5</v>
      </c>
      <c r="O11" s="3">
        <f>'RCA exp g(l)'!T27</f>
        <v>0</v>
      </c>
      <c r="P11" s="3">
        <f>'RCA exp g(l)'!U27</f>
        <v>0</v>
      </c>
      <c r="Q11" s="3">
        <f>'RCA exp g(l)'!V27</f>
        <v>0</v>
      </c>
      <c r="AG11" s="3">
        <f>SUM(C11:Y11)</f>
        <v>67</v>
      </c>
    </row>
    <row r="12" spans="1:34" s="3" customFormat="1" x14ac:dyDescent="0.2">
      <c r="A12" s="3" t="s">
        <v>100</v>
      </c>
      <c r="B12" s="3" t="s">
        <v>265</v>
      </c>
      <c r="C12" s="6">
        <f>'RCA exp g(l)'!H28</f>
        <v>-3</v>
      </c>
      <c r="D12" s="6">
        <f>'RCA exp g(l)'!I28</f>
        <v>-3</v>
      </c>
      <c r="E12" s="6">
        <f>'RCA exp g(l)'!J28</f>
        <v>-3</v>
      </c>
      <c r="F12" s="6">
        <f>'RCA exp g(l)'!K28</f>
        <v>-3</v>
      </c>
      <c r="G12" s="6">
        <f>'RCA exp g(l)'!L28</f>
        <v>-3</v>
      </c>
      <c r="H12" s="6">
        <f>'RCA exp g(l)'!M28</f>
        <v>-3</v>
      </c>
      <c r="I12" s="6">
        <f>'RCA exp g(l)'!N28</f>
        <v>-3</v>
      </c>
      <c r="J12" s="6">
        <f>'RCA exp g(l)'!O28</f>
        <v>-3</v>
      </c>
      <c r="K12" s="6">
        <f>'RCA exp g(l)'!P28</f>
        <v>-3</v>
      </c>
      <c r="L12" s="6">
        <f>'RCA exp g(l)'!Q28</f>
        <v>-3</v>
      </c>
      <c r="M12" s="6">
        <f>'RCA exp g(l)'!R28</f>
        <v>-3</v>
      </c>
      <c r="N12" s="6">
        <f>'RCA exp g(l)'!S28</f>
        <v>-3</v>
      </c>
      <c r="O12" s="6">
        <f>'RCA exp g(l)'!T28</f>
        <v>-2</v>
      </c>
      <c r="P12" s="6">
        <f>'RCA exp g(l)'!U28</f>
        <v>0</v>
      </c>
      <c r="Q12" s="6">
        <f>'RCA exp g(l)'!V28</f>
        <v>0</v>
      </c>
      <c r="R12" s="45"/>
      <c r="S12" s="45"/>
      <c r="T12" s="45"/>
      <c r="U12" s="45"/>
      <c r="V12" s="45"/>
      <c r="W12" s="45"/>
      <c r="X12" s="45"/>
      <c r="Y12" s="45"/>
      <c r="Z12" s="45"/>
      <c r="AA12" s="45"/>
      <c r="AB12" s="45"/>
      <c r="AC12" s="45"/>
      <c r="AD12" s="45"/>
      <c r="AE12" s="45"/>
      <c r="AF12" s="45"/>
    </row>
    <row r="13" spans="1:34" x14ac:dyDescent="0.2">
      <c r="A13" s="31" t="s">
        <v>266</v>
      </c>
      <c r="AG13" s="33">
        <f>SUM(AG8:AG12)</f>
        <v>212</v>
      </c>
      <c r="AH13" s="34">
        <f>SUM(AH8:AH12)</f>
        <v>39</v>
      </c>
    </row>
    <row r="15" spans="1:34" x14ac:dyDescent="0.2">
      <c r="A15" s="28" t="s">
        <v>127</v>
      </c>
    </row>
    <row r="16" spans="1:34" s="25" customFormat="1" ht="12" customHeight="1" x14ac:dyDescent="0.2">
      <c r="A16" s="25" t="s">
        <v>101</v>
      </c>
      <c r="B16" s="8" t="s">
        <v>131</v>
      </c>
      <c r="C16" s="36">
        <v>-5</v>
      </c>
      <c r="D16" s="36">
        <v>-5</v>
      </c>
      <c r="E16" s="36">
        <v>-5</v>
      </c>
      <c r="F16" s="36">
        <v>-4</v>
      </c>
      <c r="G16" s="36">
        <v>-4</v>
      </c>
      <c r="H16" s="36">
        <v>-4</v>
      </c>
      <c r="I16" s="36">
        <v>-4</v>
      </c>
      <c r="J16" s="36">
        <v>-4</v>
      </c>
      <c r="K16" s="36">
        <v>-4</v>
      </c>
      <c r="L16" s="36"/>
      <c r="M16" s="36"/>
      <c r="N16" s="36"/>
      <c r="O16" s="36"/>
      <c r="P16" s="36"/>
      <c r="Q16" s="36"/>
      <c r="R16" s="39"/>
      <c r="S16" s="39"/>
      <c r="T16" s="39"/>
      <c r="U16" s="39"/>
      <c r="V16" s="39"/>
      <c r="W16" s="39"/>
      <c r="X16" s="39"/>
      <c r="Y16" s="39"/>
      <c r="Z16" s="39"/>
      <c r="AA16" s="39"/>
      <c r="AB16" s="39"/>
      <c r="AC16" s="39"/>
      <c r="AD16" s="39"/>
      <c r="AE16" s="39"/>
      <c r="AF16" s="39"/>
      <c r="AG16" s="25">
        <f>SUM(C16:Y16)</f>
        <v>-39</v>
      </c>
    </row>
    <row r="18" spans="1:36" x14ac:dyDescent="0.2">
      <c r="AG18" s="16" t="s">
        <v>106</v>
      </c>
      <c r="AH18" s="3"/>
    </row>
    <row r="19" spans="1:36" x14ac:dyDescent="0.2">
      <c r="A19" s="28" t="s">
        <v>129</v>
      </c>
      <c r="AG19" s="391" t="s">
        <v>448</v>
      </c>
      <c r="AH19" s="17"/>
    </row>
    <row r="20" spans="1:36" s="3" customFormat="1" x14ac:dyDescent="0.2">
      <c r="A20" s="3" t="s">
        <v>96</v>
      </c>
      <c r="B20" s="3" t="s">
        <v>31</v>
      </c>
      <c r="C20" s="3">
        <f t="shared" ref="C20:K20" si="0">C8+C16</f>
        <v>1</v>
      </c>
      <c r="D20" s="3">
        <f t="shared" si="0"/>
        <v>1</v>
      </c>
      <c r="E20" s="3">
        <f t="shared" si="0"/>
        <v>1</v>
      </c>
      <c r="F20" s="3">
        <f t="shared" si="0"/>
        <v>2</v>
      </c>
      <c r="G20" s="3">
        <f t="shared" si="0"/>
        <v>2</v>
      </c>
      <c r="H20" s="3">
        <f t="shared" si="0"/>
        <v>1</v>
      </c>
      <c r="I20" s="3">
        <f t="shared" si="0"/>
        <v>1</v>
      </c>
      <c r="J20" s="3">
        <f t="shared" si="0"/>
        <v>1</v>
      </c>
      <c r="K20" s="3">
        <f t="shared" si="0"/>
        <v>1</v>
      </c>
      <c r="AG20" s="45">
        <f>SUM(R20:AF20)</f>
        <v>0</v>
      </c>
    </row>
    <row r="21" spans="1:36" s="3" customFormat="1" x14ac:dyDescent="0.2">
      <c r="A21" s="3" t="s">
        <v>97</v>
      </c>
      <c r="B21" s="3" t="s">
        <v>265</v>
      </c>
      <c r="C21" s="3">
        <f>'RCA exp g(l)'!H25</f>
        <v>8</v>
      </c>
      <c r="D21" s="3">
        <f>'RCA exp g(l)'!I25</f>
        <v>8</v>
      </c>
      <c r="E21" s="3">
        <f>'RCA exp g(l)'!J25</f>
        <v>8</v>
      </c>
      <c r="F21" s="3">
        <f>'RCA exp g(l)'!K25</f>
        <v>8</v>
      </c>
      <c r="G21" s="3">
        <f>'RCA exp g(l)'!L25</f>
        <v>9</v>
      </c>
      <c r="H21" s="3">
        <f>'RCA exp g(l)'!M25</f>
        <v>9</v>
      </c>
      <c r="I21" s="3">
        <f>'RCA exp g(l)'!N25</f>
        <v>9</v>
      </c>
      <c r="J21" s="3">
        <f>'RCA exp g(l)'!O25</f>
        <v>9</v>
      </c>
      <c r="K21" s="3">
        <f>'RCA exp g(l)'!P25</f>
        <v>9</v>
      </c>
      <c r="L21" s="3">
        <f>'RCA exp g(l)'!Q25</f>
        <v>0</v>
      </c>
      <c r="M21" s="3">
        <f>'RCA exp g(l)'!R25</f>
        <v>0</v>
      </c>
      <c r="N21" s="3">
        <f>'RCA exp g(l)'!S25</f>
        <v>0</v>
      </c>
      <c r="O21" s="3">
        <f>'RCA exp g(l)'!T25</f>
        <v>0</v>
      </c>
      <c r="AG21" s="45">
        <f t="shared" ref="AG21:AG39" si="1">SUM(R21:AF21)</f>
        <v>0</v>
      </c>
    </row>
    <row r="22" spans="1:36" s="3" customFormat="1" x14ac:dyDescent="0.2">
      <c r="A22" s="3" t="s">
        <v>98</v>
      </c>
      <c r="B22" s="3" t="s">
        <v>265</v>
      </c>
      <c r="C22" s="3">
        <f>'RCA exp g(l)'!H26</f>
        <v>2</v>
      </c>
      <c r="D22" s="3">
        <f>'RCA exp g(l)'!I26</f>
        <v>2</v>
      </c>
      <c r="E22" s="3">
        <f>'RCA exp g(l)'!J26</f>
        <v>2</v>
      </c>
      <c r="F22" s="3">
        <f>'RCA exp g(l)'!K26</f>
        <v>2</v>
      </c>
      <c r="G22" s="3">
        <f>'RCA exp g(l)'!L26</f>
        <v>2</v>
      </c>
      <c r="H22" s="3">
        <f>'RCA exp g(l)'!M26</f>
        <v>2</v>
      </c>
      <c r="I22" s="3">
        <f>'RCA exp g(l)'!N26</f>
        <v>2</v>
      </c>
      <c r="J22" s="3">
        <f>'RCA exp g(l)'!O26</f>
        <v>2</v>
      </c>
      <c r="K22" s="3">
        <f>'RCA exp g(l)'!P26</f>
        <v>1</v>
      </c>
      <c r="L22" s="3">
        <f>'RCA exp g(l)'!Q26</f>
        <v>1</v>
      </c>
      <c r="M22" s="3">
        <f>'RCA exp g(l)'!R26</f>
        <v>0</v>
      </c>
      <c r="N22" s="3">
        <f>'RCA exp g(l)'!S26</f>
        <v>0</v>
      </c>
      <c r="O22" s="3">
        <f>'RCA exp g(l)'!T26</f>
        <v>0</v>
      </c>
      <c r="AG22" s="45">
        <f t="shared" si="1"/>
        <v>0</v>
      </c>
    </row>
    <row r="23" spans="1:36" s="3" customFormat="1" x14ac:dyDescent="0.2">
      <c r="A23" s="3" t="s">
        <v>99</v>
      </c>
      <c r="B23" s="3" t="s">
        <v>265</v>
      </c>
      <c r="C23" s="3">
        <f>'RCA exp g(l)'!H27</f>
        <v>6</v>
      </c>
      <c r="D23" s="3">
        <f>'RCA exp g(l)'!I27</f>
        <v>6</v>
      </c>
      <c r="E23" s="3">
        <f>'RCA exp g(l)'!J27</f>
        <v>6</v>
      </c>
      <c r="F23" s="3">
        <f>'RCA exp g(l)'!K27</f>
        <v>6</v>
      </c>
      <c r="G23" s="3">
        <f>'RCA exp g(l)'!L27</f>
        <v>6</v>
      </c>
      <c r="H23" s="3">
        <f>'RCA exp g(l)'!M27</f>
        <v>6</v>
      </c>
      <c r="I23" s="3">
        <f>'RCA exp g(l)'!N27</f>
        <v>6</v>
      </c>
      <c r="J23" s="3">
        <f>'RCA exp g(l)'!O27</f>
        <v>5</v>
      </c>
      <c r="K23" s="3">
        <f>'RCA exp g(l)'!P27</f>
        <v>5</v>
      </c>
      <c r="L23" s="3">
        <f>'RCA exp g(l)'!Q27</f>
        <v>5</v>
      </c>
      <c r="M23" s="3">
        <f>'RCA exp g(l)'!R27</f>
        <v>5</v>
      </c>
      <c r="N23" s="3">
        <f>'RCA exp g(l)'!S27</f>
        <v>5</v>
      </c>
      <c r="O23" s="3">
        <f>'RCA exp g(l)'!T27</f>
        <v>0</v>
      </c>
      <c r="AG23" s="45">
        <f t="shared" si="1"/>
        <v>0</v>
      </c>
    </row>
    <row r="24" spans="1:36" s="3" customFormat="1" x14ac:dyDescent="0.2">
      <c r="A24" s="3" t="s">
        <v>100</v>
      </c>
      <c r="B24" s="3" t="s">
        <v>265</v>
      </c>
      <c r="C24" s="3">
        <f>'RCA exp g(l)'!H28</f>
        <v>-3</v>
      </c>
      <c r="D24" s="3">
        <f>'RCA exp g(l)'!I28</f>
        <v>-3</v>
      </c>
      <c r="E24" s="3">
        <f>'RCA exp g(l)'!J28</f>
        <v>-3</v>
      </c>
      <c r="F24" s="3">
        <f>'RCA exp g(l)'!K28</f>
        <v>-3</v>
      </c>
      <c r="G24" s="3">
        <f>'RCA exp g(l)'!L28</f>
        <v>-3</v>
      </c>
      <c r="H24" s="3">
        <f>'RCA exp g(l)'!M28</f>
        <v>-3</v>
      </c>
      <c r="I24" s="3">
        <f>'RCA exp g(l)'!N28</f>
        <v>-3</v>
      </c>
      <c r="J24" s="3">
        <f>'RCA exp g(l)'!O28</f>
        <v>-3</v>
      </c>
      <c r="K24" s="3">
        <f>'RCA exp g(l)'!P28</f>
        <v>-3</v>
      </c>
      <c r="L24" s="3">
        <f>'RCA exp g(l)'!Q28</f>
        <v>-3</v>
      </c>
      <c r="M24" s="3">
        <f>'RCA exp g(l)'!R28</f>
        <v>-3</v>
      </c>
      <c r="N24" s="3">
        <f>'RCA exp g(l)'!S28</f>
        <v>-3</v>
      </c>
      <c r="O24" s="3">
        <f>'RCA exp g(l)'!T28</f>
        <v>-2</v>
      </c>
      <c r="AG24" s="45">
        <f t="shared" si="1"/>
        <v>0</v>
      </c>
    </row>
    <row r="25" spans="1:36" s="3" customFormat="1" x14ac:dyDescent="0.2">
      <c r="A25" s="3" t="s">
        <v>101</v>
      </c>
      <c r="B25" s="3" t="s">
        <v>265</v>
      </c>
      <c r="C25" s="45">
        <f>'RCA exp g(l)'!H29</f>
        <v>2</v>
      </c>
      <c r="D25" s="45">
        <f>'RCA exp g(l)'!I29</f>
        <v>2</v>
      </c>
      <c r="E25" s="45">
        <f>'RCA exp g(l)'!J29</f>
        <v>2</v>
      </c>
      <c r="F25" s="45">
        <f>'RCA exp g(l)'!K29</f>
        <v>2</v>
      </c>
      <c r="G25" s="45">
        <f>'RCA exp g(l)'!L29</f>
        <v>2</v>
      </c>
      <c r="H25" s="45">
        <f>'RCA exp g(l)'!M29</f>
        <v>2</v>
      </c>
      <c r="I25" s="45">
        <f>'RCA exp g(l)'!N29</f>
        <v>2</v>
      </c>
      <c r="J25" s="45">
        <f>'RCA exp g(l)'!O29</f>
        <v>2</v>
      </c>
      <c r="K25" s="45">
        <f>'RCA exp g(l)'!P29</f>
        <v>2</v>
      </c>
      <c r="L25" s="45">
        <f>'RCA exp g(l)'!Q29</f>
        <v>2</v>
      </c>
      <c r="M25" s="45">
        <f>'RCA exp g(l)'!R29</f>
        <v>2</v>
      </c>
      <c r="N25" s="45">
        <f>'RCA exp g(l)'!S29</f>
        <v>2</v>
      </c>
      <c r="O25" s="45">
        <f>'RCA exp g(l)'!T29</f>
        <v>2</v>
      </c>
      <c r="P25" s="45"/>
      <c r="Q25" s="45"/>
      <c r="R25" s="45"/>
      <c r="S25" s="45"/>
      <c r="T25" s="45"/>
      <c r="U25" s="45"/>
      <c r="V25" s="45"/>
      <c r="W25" s="45"/>
      <c r="X25" s="45"/>
      <c r="Y25" s="45"/>
      <c r="Z25" s="45"/>
      <c r="AA25" s="45"/>
      <c r="AB25" s="45"/>
      <c r="AC25" s="45"/>
      <c r="AD25" s="45"/>
      <c r="AE25" s="45"/>
      <c r="AF25" s="45"/>
      <c r="AG25" s="45">
        <f t="shared" si="1"/>
        <v>0</v>
      </c>
      <c r="AH25" s="45"/>
    </row>
    <row r="26" spans="1:36" s="3" customFormat="1" x14ac:dyDescent="0.2">
      <c r="A26" s="3" t="s">
        <v>102</v>
      </c>
      <c r="B26" s="3" t="s">
        <v>265</v>
      </c>
      <c r="C26" s="45"/>
      <c r="D26" s="45">
        <f>'RCA exp g(l)'!I30</f>
        <v>-6</v>
      </c>
      <c r="E26" s="45">
        <f>'RCA exp g(l)'!J30</f>
        <v>-6</v>
      </c>
      <c r="F26" s="45">
        <f>'RCA exp g(l)'!K30</f>
        <v>-6</v>
      </c>
      <c r="G26" s="45">
        <f>'RCA exp g(l)'!L30</f>
        <v>-6</v>
      </c>
      <c r="H26" s="45">
        <f>'RCA exp g(l)'!M30</f>
        <v>-6</v>
      </c>
      <c r="I26" s="45">
        <f>'RCA exp g(l)'!N30</f>
        <v>-5</v>
      </c>
      <c r="J26" s="45">
        <f>'RCA exp g(l)'!O30</f>
        <v>-5</v>
      </c>
      <c r="K26" s="45">
        <f>'RCA exp g(l)'!P30</f>
        <v>-5</v>
      </c>
      <c r="L26" s="45">
        <f>'RCA exp g(l)'!Q30</f>
        <v>-5</v>
      </c>
      <c r="M26" s="45">
        <f>'RCA exp g(l)'!R30</f>
        <v>-5</v>
      </c>
      <c r="N26" s="45">
        <f>'RCA exp g(l)'!S30</f>
        <v>-5</v>
      </c>
      <c r="O26" s="45">
        <f>'RCA exp g(l)'!T30</f>
        <v>-5</v>
      </c>
      <c r="P26" s="45">
        <f>'RCA exp g(l)'!U30</f>
        <v>-6</v>
      </c>
      <c r="Q26" s="45"/>
      <c r="R26" s="45"/>
      <c r="S26" s="45"/>
      <c r="T26" s="45"/>
      <c r="U26" s="45"/>
      <c r="V26" s="45"/>
      <c r="W26" s="45"/>
      <c r="X26" s="45"/>
      <c r="Y26" s="45"/>
      <c r="Z26" s="45"/>
      <c r="AA26" s="45"/>
      <c r="AB26" s="45"/>
      <c r="AC26" s="45"/>
      <c r="AD26" s="45"/>
      <c r="AE26" s="45"/>
      <c r="AF26" s="45"/>
      <c r="AG26" s="45">
        <f t="shared" si="1"/>
        <v>0</v>
      </c>
      <c r="AH26" s="45"/>
      <c r="AI26" s="45"/>
      <c r="AJ26" s="45"/>
    </row>
    <row r="27" spans="1:36" s="3" customFormat="1" x14ac:dyDescent="0.2">
      <c r="A27" s="3" t="s">
        <v>308</v>
      </c>
      <c r="B27" s="3" t="s">
        <v>265</v>
      </c>
      <c r="C27" s="45"/>
      <c r="D27" s="45"/>
      <c r="E27" s="45">
        <f>'RCA exp g(l)'!J31</f>
        <v>26</v>
      </c>
      <c r="F27" s="45">
        <f>'RCA exp g(l)'!K31</f>
        <v>26</v>
      </c>
      <c r="G27" s="45">
        <f>'RCA exp g(l)'!L31</f>
        <v>26</v>
      </c>
      <c r="H27" s="45">
        <f>'RCA exp g(l)'!M31</f>
        <v>26</v>
      </c>
      <c r="I27" s="45">
        <f>'RCA exp g(l)'!N31</f>
        <v>26</v>
      </c>
      <c r="J27" s="45">
        <f>'RCA exp g(l)'!O31</f>
        <v>26</v>
      </c>
      <c r="K27" s="45">
        <f>'RCA exp g(l)'!P31</f>
        <v>26</v>
      </c>
      <c r="L27" s="45">
        <f>'RCA exp g(l)'!Q31</f>
        <v>26</v>
      </c>
      <c r="M27" s="45">
        <f>'RCA exp g(l)'!R31</f>
        <v>26</v>
      </c>
      <c r="N27" s="45">
        <f>'RCA exp g(l)'!S31</f>
        <v>26</v>
      </c>
      <c r="O27" s="45">
        <f>'RCA exp g(l)'!T31</f>
        <v>26</v>
      </c>
      <c r="P27" s="45">
        <f>'RCA exp g(l)'!U31</f>
        <v>26</v>
      </c>
      <c r="Q27" s="45">
        <f>'RCA exp g(l)'!V31</f>
        <v>26</v>
      </c>
      <c r="R27" s="45"/>
      <c r="S27" s="45"/>
      <c r="T27" s="45"/>
      <c r="U27" s="45"/>
      <c r="V27" s="45"/>
      <c r="W27" s="45"/>
      <c r="X27" s="45"/>
      <c r="Y27" s="45"/>
      <c r="Z27" s="45"/>
      <c r="AA27" s="45"/>
      <c r="AB27" s="45"/>
      <c r="AC27" s="45"/>
      <c r="AD27" s="45"/>
      <c r="AE27" s="45"/>
      <c r="AF27" s="45"/>
      <c r="AG27" s="45">
        <f t="shared" si="1"/>
        <v>0</v>
      </c>
      <c r="AH27" s="45"/>
      <c r="AI27" s="45"/>
      <c r="AJ27" s="45"/>
    </row>
    <row r="28" spans="1:36" s="3" customFormat="1" x14ac:dyDescent="0.2">
      <c r="A28" s="3" t="s">
        <v>310</v>
      </c>
      <c r="B28" s="3" t="s">
        <v>265</v>
      </c>
      <c r="C28" s="45"/>
      <c r="D28" s="45"/>
      <c r="E28" s="45"/>
      <c r="F28" s="45">
        <f>'RCA exp g(l)'!K32</f>
        <v>-1</v>
      </c>
      <c r="G28" s="45">
        <f>'RCA exp g(l)'!L32</f>
        <v>-1</v>
      </c>
      <c r="H28" s="45">
        <f>'RCA exp g(l)'!M32</f>
        <v>-1</v>
      </c>
      <c r="I28" s="45">
        <f>'RCA exp g(l)'!N32</f>
        <v>-1</v>
      </c>
      <c r="J28" s="45">
        <f>'RCA exp g(l)'!O32</f>
        <v>-1</v>
      </c>
      <c r="K28" s="45">
        <f>'RCA exp g(l)'!P32</f>
        <v>-1</v>
      </c>
      <c r="L28" s="45">
        <f>'RCA exp g(l)'!Q32</f>
        <v>-1</v>
      </c>
      <c r="M28" s="45">
        <f>'RCA exp g(l)'!R32</f>
        <v>-1</v>
      </c>
      <c r="N28" s="45">
        <f>'RCA exp g(l)'!S32</f>
        <v>-2</v>
      </c>
      <c r="O28" s="45">
        <f>'RCA exp g(l)'!T32</f>
        <v>-2</v>
      </c>
      <c r="P28" s="45">
        <f>'RCA exp g(l)'!U32</f>
        <v>-2</v>
      </c>
      <c r="Q28" s="45">
        <f>'RCA exp g(l)'!V32</f>
        <v>-2</v>
      </c>
      <c r="R28" s="45">
        <f>'RCA exp g(l)'!W32</f>
        <v>-2</v>
      </c>
      <c r="S28" s="45"/>
      <c r="T28" s="45"/>
      <c r="U28" s="45"/>
      <c r="V28" s="45"/>
      <c r="W28" s="45"/>
      <c r="X28" s="45"/>
      <c r="Y28" s="45"/>
      <c r="Z28" s="45"/>
      <c r="AA28" s="45"/>
      <c r="AB28" s="45"/>
      <c r="AC28" s="45"/>
      <c r="AD28" s="45"/>
      <c r="AE28" s="45"/>
      <c r="AF28" s="45"/>
      <c r="AG28" s="45">
        <f t="shared" si="1"/>
        <v>-2</v>
      </c>
      <c r="AH28" s="45"/>
      <c r="AI28" s="45"/>
      <c r="AJ28" s="45"/>
    </row>
    <row r="29" spans="1:36" s="3" customFormat="1" x14ac:dyDescent="0.2">
      <c r="A29" s="3" t="s">
        <v>311</v>
      </c>
      <c r="B29" s="3" t="s">
        <v>265</v>
      </c>
      <c r="C29" s="45"/>
      <c r="D29" s="45"/>
      <c r="E29" s="45"/>
      <c r="F29" s="45"/>
      <c r="G29" s="45"/>
      <c r="H29" s="45">
        <f>'RCA exp g(l)'!M33</f>
        <v>3</v>
      </c>
      <c r="I29" s="45">
        <f>'RCA exp g(l)'!N33</f>
        <v>3</v>
      </c>
      <c r="J29" s="45">
        <f>'RCA exp g(l)'!O33</f>
        <v>3</v>
      </c>
      <c r="K29" s="45">
        <f>'RCA exp g(l)'!P33</f>
        <v>3</v>
      </c>
      <c r="L29" s="45">
        <f>'RCA exp g(l)'!Q33</f>
        <v>3</v>
      </c>
      <c r="M29" s="45">
        <f>'RCA exp g(l)'!R33</f>
        <v>3</v>
      </c>
      <c r="N29" s="45">
        <f>'RCA exp g(l)'!S33</f>
        <v>3</v>
      </c>
      <c r="O29" s="45">
        <f>'RCA exp g(l)'!T33</f>
        <v>3</v>
      </c>
      <c r="P29" s="45">
        <f>'RCA exp g(l)'!U33</f>
        <v>2</v>
      </c>
      <c r="Q29" s="45">
        <f>'RCA exp g(l)'!V33</f>
        <v>2</v>
      </c>
      <c r="R29" s="45">
        <f>'RCA exp g(l)'!W33</f>
        <v>2</v>
      </c>
      <c r="S29" s="45">
        <f>'RCA exp g(l)'!X33</f>
        <v>2</v>
      </c>
      <c r="T29" s="45">
        <f>'RCA exp g(l)'!Y33</f>
        <v>2</v>
      </c>
      <c r="U29" s="45"/>
      <c r="V29" s="45"/>
      <c r="W29" s="45"/>
      <c r="X29" s="45"/>
      <c r="Y29" s="45"/>
      <c r="Z29" s="45"/>
      <c r="AA29" s="45"/>
      <c r="AB29" s="45"/>
      <c r="AC29" s="45"/>
      <c r="AD29" s="45"/>
      <c r="AE29" s="45"/>
      <c r="AF29" s="45"/>
      <c r="AG29" s="45">
        <f t="shared" si="1"/>
        <v>6</v>
      </c>
      <c r="AH29" s="45"/>
      <c r="AI29" s="45"/>
      <c r="AJ29" s="45"/>
    </row>
    <row r="30" spans="1:36" s="3" customFormat="1" x14ac:dyDescent="0.2">
      <c r="A30" s="3" t="s">
        <v>312</v>
      </c>
      <c r="B30" s="3" t="s">
        <v>265</v>
      </c>
      <c r="C30" s="45"/>
      <c r="D30" s="45"/>
      <c r="E30" s="45"/>
      <c r="F30" s="45"/>
      <c r="G30" s="45"/>
      <c r="H30" s="45"/>
      <c r="I30" s="45">
        <f>'RCA exp g(l)'!N34</f>
        <v>-2</v>
      </c>
      <c r="J30" s="45">
        <f>'RCA exp g(l)'!O34</f>
        <v>-2</v>
      </c>
      <c r="K30" s="45">
        <f>'RCA exp g(l)'!P34</f>
        <v>-2</v>
      </c>
      <c r="L30" s="45">
        <f>'RCA exp g(l)'!Q34</f>
        <v>-2</v>
      </c>
      <c r="M30" s="45">
        <f>'RCA exp g(l)'!R34</f>
        <v>-2</v>
      </c>
      <c r="N30" s="45">
        <f>'RCA exp g(l)'!S34</f>
        <v>-2</v>
      </c>
      <c r="O30" s="45">
        <f>'RCA exp g(l)'!T34</f>
        <v>-2</v>
      </c>
      <c r="P30" s="45">
        <f>'RCA exp g(l)'!U34</f>
        <v>-2</v>
      </c>
      <c r="Q30" s="45">
        <f>'RCA exp g(l)'!V34</f>
        <v>-2</v>
      </c>
      <c r="R30" s="45">
        <f>'RCA exp g(l)'!W34</f>
        <v>-2</v>
      </c>
      <c r="S30" s="45">
        <f>'RCA exp g(l)'!X34</f>
        <v>-2</v>
      </c>
      <c r="T30" s="45">
        <f>'RCA exp g(l)'!Y34</f>
        <v>-3</v>
      </c>
      <c r="U30" s="45">
        <f>'RCA exp g(l)'!Z34</f>
        <v>-3</v>
      </c>
      <c r="V30" s="45">
        <f>'RCA exp g(l)'!AA34</f>
        <v>-3</v>
      </c>
      <c r="W30" s="45"/>
      <c r="X30" s="45"/>
      <c r="Y30" s="45"/>
      <c r="Z30" s="45"/>
      <c r="AA30" s="45"/>
      <c r="AB30" s="45"/>
      <c r="AC30" s="45"/>
      <c r="AD30" s="45"/>
      <c r="AE30" s="45"/>
      <c r="AF30" s="45"/>
      <c r="AG30" s="45">
        <f t="shared" si="1"/>
        <v>-13</v>
      </c>
      <c r="AH30" s="45"/>
      <c r="AI30" s="45"/>
      <c r="AJ30" s="45"/>
    </row>
    <row r="31" spans="1:36" s="3" customFormat="1" x14ac:dyDescent="0.2">
      <c r="A31" s="3" t="s">
        <v>313</v>
      </c>
      <c r="B31" s="3" t="s">
        <v>265</v>
      </c>
      <c r="C31" s="45"/>
      <c r="D31" s="45"/>
      <c r="E31" s="45"/>
      <c r="F31" s="45"/>
      <c r="G31" s="45"/>
      <c r="H31" s="45"/>
      <c r="I31" s="45"/>
      <c r="J31" s="45">
        <f>'RCA exp g(l)'!O35</f>
        <v>-2</v>
      </c>
      <c r="K31" s="45">
        <f>'RCA exp g(l)'!P35</f>
        <v>-2</v>
      </c>
      <c r="L31" s="45">
        <f>'RCA exp g(l)'!Q35</f>
        <v>-2</v>
      </c>
      <c r="M31" s="45">
        <f>'RCA exp g(l)'!R35</f>
        <v>-2</v>
      </c>
      <c r="N31" s="45">
        <f>'RCA exp g(l)'!S35</f>
        <v>-2</v>
      </c>
      <c r="O31" s="45">
        <f>'RCA exp g(l)'!T35</f>
        <v>-2</v>
      </c>
      <c r="P31" s="45">
        <f>'RCA exp g(l)'!U35</f>
        <v>-2</v>
      </c>
      <c r="Q31" s="45">
        <f>'RCA exp g(l)'!V35</f>
        <v>-2</v>
      </c>
      <c r="R31" s="45">
        <f>'RCA exp g(l)'!W35</f>
        <v>-2</v>
      </c>
      <c r="S31" s="45">
        <f>'RCA exp g(l)'!X35</f>
        <v>-2</v>
      </c>
      <c r="T31" s="45">
        <f>'RCA exp g(l)'!Y35</f>
        <v>-2</v>
      </c>
      <c r="U31" s="45">
        <f>'RCA exp g(l)'!Z35</f>
        <v>-2</v>
      </c>
      <c r="V31" s="45">
        <f>'RCA exp g(l)'!AA35</f>
        <v>-2</v>
      </c>
      <c r="W31" s="45">
        <f>'RCA exp g(l)'!AB35</f>
        <v>-1</v>
      </c>
      <c r="X31" s="45"/>
      <c r="Y31" s="45"/>
      <c r="Z31" s="45"/>
      <c r="AA31" s="45"/>
      <c r="AB31" s="45"/>
      <c r="AC31" s="45"/>
      <c r="AD31" s="45"/>
      <c r="AE31" s="45"/>
      <c r="AF31" s="45"/>
      <c r="AG31" s="45">
        <f t="shared" si="1"/>
        <v>-11</v>
      </c>
      <c r="AH31" s="45"/>
      <c r="AI31" s="45"/>
      <c r="AJ31" s="45"/>
    </row>
    <row r="32" spans="1:36" s="3" customFormat="1" x14ac:dyDescent="0.2">
      <c r="A32" s="3" t="s">
        <v>314</v>
      </c>
      <c r="B32" s="3" t="s">
        <v>265</v>
      </c>
      <c r="C32" s="45"/>
      <c r="D32" s="45"/>
      <c r="E32" s="45"/>
      <c r="F32" s="45"/>
      <c r="G32" s="45"/>
      <c r="H32" s="45"/>
      <c r="I32" s="45"/>
      <c r="J32" s="45"/>
      <c r="K32" s="45">
        <f>'RCA exp g(l)'!P36</f>
        <v>2</v>
      </c>
      <c r="L32" s="45">
        <f>'RCA exp g(l)'!Q36</f>
        <v>2</v>
      </c>
      <c r="M32" s="45">
        <f>'RCA exp g(l)'!R36</f>
        <v>2</v>
      </c>
      <c r="N32" s="45">
        <f>'RCA exp g(l)'!S36</f>
        <v>2</v>
      </c>
      <c r="O32" s="45">
        <f>'RCA exp g(l)'!T36</f>
        <v>2</v>
      </c>
      <c r="P32" s="45">
        <f>'RCA exp g(l)'!U36</f>
        <v>2</v>
      </c>
      <c r="Q32" s="45">
        <f>'RCA exp g(l)'!V36</f>
        <v>2</v>
      </c>
      <c r="R32" s="45">
        <f>'RCA exp g(l)'!W36</f>
        <v>2</v>
      </c>
      <c r="S32" s="45">
        <f>'RCA exp g(l)'!X36</f>
        <v>2</v>
      </c>
      <c r="T32" s="45">
        <f>'RCA exp g(l)'!Y36</f>
        <v>2</v>
      </c>
      <c r="U32" s="45">
        <f>'RCA exp g(l)'!Z36</f>
        <v>2</v>
      </c>
      <c r="V32" s="45">
        <f>'RCA exp g(l)'!AA36</f>
        <v>2</v>
      </c>
      <c r="W32" s="45">
        <f>'RCA exp g(l)'!AB36</f>
        <v>2</v>
      </c>
      <c r="X32" s="45">
        <f>'RCA exp g(l)'!AC36</f>
        <v>4</v>
      </c>
      <c r="Y32" s="45">
        <f>'RCA exp g(l)'!AD36</f>
        <v>0</v>
      </c>
      <c r="Z32" s="45"/>
      <c r="AA32" s="45"/>
      <c r="AB32" s="45"/>
      <c r="AC32" s="45"/>
      <c r="AD32" s="45"/>
      <c r="AE32" s="45"/>
      <c r="AF32" s="45"/>
      <c r="AG32" s="45">
        <f t="shared" si="1"/>
        <v>16</v>
      </c>
      <c r="AH32" s="45"/>
      <c r="AI32" s="45"/>
      <c r="AJ32" s="45"/>
    </row>
    <row r="33" spans="1:36" s="3" customFormat="1" x14ac:dyDescent="0.2">
      <c r="A33" s="3" t="s">
        <v>329</v>
      </c>
      <c r="B33" s="3" t="s">
        <v>265</v>
      </c>
      <c r="C33" s="45"/>
      <c r="D33" s="45"/>
      <c r="E33" s="45"/>
      <c r="F33" s="45"/>
      <c r="G33" s="45"/>
      <c r="H33" s="45"/>
      <c r="I33" s="45"/>
      <c r="J33" s="45"/>
      <c r="K33" s="45"/>
      <c r="L33" s="45">
        <f>'RCA exp g(l)'!Q37</f>
        <v>-4</v>
      </c>
      <c r="M33" s="45">
        <f>'RCA exp g(l)'!R37</f>
        <v>-4</v>
      </c>
      <c r="N33" s="45">
        <f>'RCA exp g(l)'!S37</f>
        <v>-4</v>
      </c>
      <c r="O33" s="45">
        <f>'RCA exp g(l)'!T37</f>
        <v>-4</v>
      </c>
      <c r="P33" s="45">
        <f>'RCA exp g(l)'!U37</f>
        <v>-4</v>
      </c>
      <c r="Q33" s="45">
        <f>'RCA exp g(l)'!V37</f>
        <v>-4</v>
      </c>
      <c r="R33" s="45">
        <f>'RCA exp g(l)'!W37</f>
        <v>-4</v>
      </c>
      <c r="S33" s="45">
        <f>'RCA exp g(l)'!X37</f>
        <v>-4</v>
      </c>
      <c r="T33" s="45">
        <f>'RCA exp g(l)'!Y37</f>
        <v>-4</v>
      </c>
      <c r="U33" s="45">
        <f>'RCA exp g(l)'!Z37</f>
        <v>-4</v>
      </c>
      <c r="V33" s="45">
        <f>'RCA exp g(l)'!AA37</f>
        <v>-4</v>
      </c>
      <c r="W33" s="45">
        <f>'RCA exp g(l)'!AB37</f>
        <v>-4</v>
      </c>
      <c r="X33" s="45">
        <f>'RCA exp g(l)'!AC37</f>
        <v>-4</v>
      </c>
      <c r="Y33" s="45">
        <f>'RCA exp g(l)'!AD37</f>
        <v>-7</v>
      </c>
      <c r="Z33" s="45"/>
      <c r="AA33" s="45"/>
      <c r="AB33" s="45"/>
      <c r="AC33" s="45"/>
      <c r="AD33" s="45"/>
      <c r="AE33" s="45"/>
      <c r="AF33" s="45"/>
      <c r="AG33" s="45">
        <f t="shared" si="1"/>
        <v>-35</v>
      </c>
      <c r="AH33" s="45"/>
      <c r="AI33" s="45"/>
      <c r="AJ33" s="45"/>
    </row>
    <row r="34" spans="1:36" s="3" customFormat="1" x14ac:dyDescent="0.2">
      <c r="A34" s="3" t="s">
        <v>332</v>
      </c>
      <c r="B34" s="3" t="s">
        <v>265</v>
      </c>
      <c r="C34" s="45"/>
      <c r="D34" s="45"/>
      <c r="E34" s="45"/>
      <c r="F34" s="45"/>
      <c r="G34" s="45"/>
      <c r="H34" s="45"/>
      <c r="I34" s="45"/>
      <c r="J34" s="45"/>
      <c r="K34" s="45"/>
      <c r="L34" s="45"/>
      <c r="M34" s="45">
        <f>'RCA exp g(l)'!R38</f>
        <v>-5</v>
      </c>
      <c r="N34" s="45">
        <f>'RCA exp g(l)'!S38</f>
        <v>-5</v>
      </c>
      <c r="O34" s="45">
        <f>'RCA exp g(l)'!T38</f>
        <v>-5</v>
      </c>
      <c r="P34" s="45">
        <f>'RCA exp g(l)'!U38</f>
        <v>-5</v>
      </c>
      <c r="Q34" s="45">
        <f>'RCA exp g(l)'!V38</f>
        <v>-5</v>
      </c>
      <c r="R34" s="45">
        <f>'RCA exp g(l)'!W38</f>
        <v>-5</v>
      </c>
      <c r="S34" s="45">
        <f>'RCA exp g(l)'!X38</f>
        <v>-5</v>
      </c>
      <c r="T34" s="45">
        <f>'RCA exp g(l)'!Y38</f>
        <v>-5</v>
      </c>
      <c r="U34" s="45">
        <f>'RCA exp g(l)'!Z38</f>
        <v>-5</v>
      </c>
      <c r="V34" s="45">
        <f>'RCA exp g(l)'!AA38</f>
        <v>-5</v>
      </c>
      <c r="W34" s="45">
        <f>'RCA exp g(l)'!AB38</f>
        <v>-5</v>
      </c>
      <c r="X34" s="45">
        <f>'RCA exp g(l)'!AC38</f>
        <v>-6</v>
      </c>
      <c r="Y34" s="45">
        <f>'RCA exp g(l)'!AD38</f>
        <v>-6</v>
      </c>
      <c r="Z34" s="45">
        <f>'RCA exp g(l)'!AE38</f>
        <v>-6</v>
      </c>
      <c r="AA34" s="45"/>
      <c r="AB34" s="45"/>
      <c r="AC34" s="45"/>
      <c r="AD34" s="45"/>
      <c r="AE34" s="45"/>
      <c r="AF34" s="45"/>
      <c r="AG34" s="45">
        <f t="shared" si="1"/>
        <v>-48</v>
      </c>
      <c r="AH34" s="45"/>
      <c r="AI34" s="45"/>
      <c r="AJ34" s="45"/>
    </row>
    <row r="35" spans="1:36" s="3" customFormat="1" x14ac:dyDescent="0.2">
      <c r="A35" s="296" t="s">
        <v>336</v>
      </c>
      <c r="B35" s="296" t="s">
        <v>265</v>
      </c>
      <c r="C35" s="45"/>
      <c r="D35" s="45"/>
      <c r="E35" s="45"/>
      <c r="F35" s="45"/>
      <c r="G35" s="45"/>
      <c r="H35" s="45"/>
      <c r="I35" s="45"/>
      <c r="J35" s="45"/>
      <c r="K35" s="45"/>
      <c r="L35" s="45"/>
      <c r="M35" s="45"/>
      <c r="N35" s="45">
        <f>'RCA exp g(l)'!S39</f>
        <v>1</v>
      </c>
      <c r="O35" s="45">
        <f>'RCA exp g(l)'!T39</f>
        <v>1</v>
      </c>
      <c r="P35" s="45">
        <f>'RCA exp g(l)'!U39</f>
        <v>1</v>
      </c>
      <c r="Q35" s="45">
        <f>'RCA exp g(l)'!V39</f>
        <v>1</v>
      </c>
      <c r="R35" s="45">
        <f>'RCA exp g(l)'!W39</f>
        <v>1</v>
      </c>
      <c r="S35" s="45">
        <f>'RCA exp g(l)'!X39</f>
        <v>1</v>
      </c>
      <c r="T35" s="45">
        <f>'RCA exp g(l)'!Y39</f>
        <v>1</v>
      </c>
      <c r="U35" s="45">
        <f>'RCA exp g(l)'!Z39</f>
        <v>1</v>
      </c>
      <c r="V35" s="45">
        <f>'RCA exp g(l)'!AA39</f>
        <v>1</v>
      </c>
      <c r="W35" s="45">
        <f>'RCA exp g(l)'!AB39</f>
        <v>0</v>
      </c>
      <c r="X35" s="45">
        <f>'RCA exp g(l)'!AC39</f>
        <v>0</v>
      </c>
      <c r="Y35" s="45">
        <f>'RCA exp g(l)'!AD39</f>
        <v>0</v>
      </c>
      <c r="Z35" s="45">
        <f>'RCA exp g(l)'!AE39</f>
        <v>0</v>
      </c>
      <c r="AA35" s="45">
        <f>'RCA exp g(l)'!AF39</f>
        <v>0</v>
      </c>
      <c r="AB35" s="45"/>
      <c r="AC35" s="45"/>
      <c r="AD35" s="45"/>
      <c r="AE35" s="45"/>
      <c r="AF35" s="45"/>
      <c r="AG35" s="45">
        <f t="shared" si="1"/>
        <v>5</v>
      </c>
      <c r="AH35" s="45"/>
      <c r="AI35" s="45"/>
      <c r="AJ35" s="45"/>
    </row>
    <row r="36" spans="1:36" s="3" customFormat="1" x14ac:dyDescent="0.2">
      <c r="A36" s="9" t="s">
        <v>350</v>
      </c>
      <c r="B36" s="9" t="s">
        <v>265</v>
      </c>
      <c r="C36" s="45"/>
      <c r="D36" s="45"/>
      <c r="E36" s="45"/>
      <c r="F36" s="45"/>
      <c r="G36" s="45"/>
      <c r="H36" s="45"/>
      <c r="I36" s="45"/>
      <c r="J36" s="45"/>
      <c r="K36" s="45"/>
      <c r="L36" s="45"/>
      <c r="M36" s="45"/>
      <c r="N36" s="45"/>
      <c r="O36" s="45">
        <f>'RCA exp g(l)'!T40</f>
        <v>2</v>
      </c>
      <c r="P36" s="45">
        <f>'RCA exp g(l)'!U40</f>
        <v>2</v>
      </c>
      <c r="Q36" s="45">
        <f>'RCA exp g(l)'!V40</f>
        <v>2</v>
      </c>
      <c r="R36" s="45">
        <f>'RCA exp g(l)'!W40</f>
        <v>2</v>
      </c>
      <c r="S36" s="45">
        <f>'RCA exp g(l)'!X40</f>
        <v>2</v>
      </c>
      <c r="T36" s="45">
        <f>'RCA exp g(l)'!Y40</f>
        <v>2</v>
      </c>
      <c r="U36" s="45">
        <f>'RCA exp g(l)'!Z40</f>
        <v>2</v>
      </c>
      <c r="V36" s="45">
        <f>'RCA exp g(l)'!AA40</f>
        <v>2</v>
      </c>
      <c r="W36" s="45">
        <f>'RCA exp g(l)'!AB40</f>
        <v>2</v>
      </c>
      <c r="X36" s="45">
        <f>'RCA exp g(l)'!AC40</f>
        <v>2</v>
      </c>
      <c r="Y36" s="45">
        <f>'RCA exp g(l)'!AD40</f>
        <v>2</v>
      </c>
      <c r="Z36" s="45">
        <f>'RCA exp g(l)'!AE40</f>
        <v>2</v>
      </c>
      <c r="AA36" s="45">
        <f>'RCA exp g(l)'!AF40</f>
        <v>2</v>
      </c>
      <c r="AB36" s="45">
        <f>'RCA exp g(l)'!AG40</f>
        <v>1</v>
      </c>
      <c r="AC36" s="45"/>
      <c r="AD36" s="45"/>
      <c r="AE36" s="45"/>
      <c r="AF36" s="45"/>
      <c r="AG36" s="45">
        <f t="shared" si="1"/>
        <v>21</v>
      </c>
      <c r="AH36" s="6"/>
      <c r="AI36" s="45"/>
      <c r="AJ36" s="45"/>
    </row>
    <row r="37" spans="1:36" s="3" customFormat="1" x14ac:dyDescent="0.2">
      <c r="A37" s="392" t="s">
        <v>355</v>
      </c>
      <c r="B37" s="392" t="s">
        <v>265</v>
      </c>
      <c r="C37" s="45"/>
      <c r="D37" s="45"/>
      <c r="E37" s="45"/>
      <c r="F37" s="45"/>
      <c r="G37" s="45"/>
      <c r="H37" s="45"/>
      <c r="I37" s="45"/>
      <c r="J37" s="45"/>
      <c r="K37" s="45"/>
      <c r="L37" s="45"/>
      <c r="M37" s="45"/>
      <c r="N37" s="45"/>
      <c r="O37" s="45"/>
      <c r="P37" s="45">
        <f>'RCA exp g(l)'!U41</f>
        <v>4</v>
      </c>
      <c r="Q37" s="45">
        <f>'RCA exp g(l)'!V41</f>
        <v>4</v>
      </c>
      <c r="R37" s="45">
        <f>'RCA exp g(l)'!W41</f>
        <v>4</v>
      </c>
      <c r="S37" s="45">
        <f>'RCA exp g(l)'!X41</f>
        <v>4</v>
      </c>
      <c r="T37" s="45">
        <f>'RCA exp g(l)'!Y41</f>
        <v>4</v>
      </c>
      <c r="U37" s="45">
        <f>'RCA exp g(l)'!Z41</f>
        <v>4</v>
      </c>
      <c r="V37" s="45">
        <f>'RCA exp g(l)'!AA41</f>
        <v>4</v>
      </c>
      <c r="W37" s="45">
        <f>'RCA exp g(l)'!AB41</f>
        <v>3</v>
      </c>
      <c r="X37" s="45">
        <f>'RCA exp g(l)'!AC41</f>
        <v>3</v>
      </c>
      <c r="Y37" s="45">
        <f>'RCA exp g(l)'!AD41</f>
        <v>3</v>
      </c>
      <c r="Z37" s="45">
        <f>'RCA exp g(l)'!AE41</f>
        <v>3</v>
      </c>
      <c r="AA37" s="45">
        <f>'RCA exp g(l)'!AF41</f>
        <v>3</v>
      </c>
      <c r="AB37" s="45">
        <f>'RCA exp g(l)'!AG41</f>
        <v>3</v>
      </c>
      <c r="AC37" s="45">
        <f>'RCA exp g(l)'!AH41</f>
        <v>3</v>
      </c>
      <c r="AD37" s="45">
        <f>'RCA exp g(l)'!AI41</f>
        <v>0</v>
      </c>
      <c r="AE37" s="45"/>
      <c r="AF37" s="45"/>
      <c r="AG37" s="45">
        <f t="shared" si="1"/>
        <v>41</v>
      </c>
      <c r="AH37" s="6"/>
      <c r="AI37" s="45"/>
      <c r="AJ37" s="45"/>
    </row>
    <row r="38" spans="1:36" s="3" customFormat="1" x14ac:dyDescent="0.2">
      <c r="A38" s="392" t="s">
        <v>358</v>
      </c>
      <c r="B38" s="392" t="s">
        <v>265</v>
      </c>
      <c r="C38" s="503"/>
      <c r="D38" s="45"/>
      <c r="E38" s="45"/>
      <c r="F38" s="45"/>
      <c r="G38" s="45"/>
      <c r="H38" s="45"/>
      <c r="I38" s="45"/>
      <c r="J38" s="45"/>
      <c r="K38" s="45"/>
      <c r="L38" s="45"/>
      <c r="M38" s="45"/>
      <c r="N38" s="45"/>
      <c r="O38" s="45"/>
      <c r="P38" s="45"/>
      <c r="Q38" s="45">
        <f>'RCA exp g(l)'!V42</f>
        <v>2</v>
      </c>
      <c r="R38" s="45">
        <f>'RCA exp g(l)'!W42</f>
        <v>2</v>
      </c>
      <c r="S38" s="45">
        <f>'RCA exp g(l)'!X42</f>
        <v>2</v>
      </c>
      <c r="T38" s="45">
        <f>'RCA exp g(l)'!Y42</f>
        <v>2</v>
      </c>
      <c r="U38" s="45">
        <f>'RCA exp g(l)'!Z42</f>
        <v>2</v>
      </c>
      <c r="V38" s="45">
        <f>'RCA exp g(l)'!AA42</f>
        <v>2</v>
      </c>
      <c r="W38" s="45">
        <f>'RCA exp g(l)'!AB42</f>
        <v>1</v>
      </c>
      <c r="X38" s="45">
        <f>'RCA exp g(l)'!AC42</f>
        <v>1</v>
      </c>
      <c r="Y38" s="45">
        <f>'RCA exp g(l)'!AD42</f>
        <v>1</v>
      </c>
      <c r="Z38" s="45">
        <f>'RCA exp g(l)'!AE42</f>
        <v>1</v>
      </c>
      <c r="AA38" s="45">
        <f>'RCA exp g(l)'!AF42</f>
        <v>1</v>
      </c>
      <c r="AB38" s="45">
        <f>'RCA exp g(l)'!AG42</f>
        <v>1</v>
      </c>
      <c r="AC38" s="45">
        <f>'RCA exp g(l)'!AH42</f>
        <v>1</v>
      </c>
      <c r="AD38" s="45">
        <f>'RCA exp g(l)'!AI42</f>
        <v>1</v>
      </c>
      <c r="AE38" s="45">
        <f>'RCA exp g(l)'!AJ42</f>
        <v>0</v>
      </c>
      <c r="AF38" s="45"/>
      <c r="AG38" s="45">
        <f t="shared" si="1"/>
        <v>18</v>
      </c>
      <c r="AH38" s="6"/>
      <c r="AI38" s="45"/>
      <c r="AJ38" s="45"/>
    </row>
    <row r="39" spans="1:36" s="3" customFormat="1" x14ac:dyDescent="0.2">
      <c r="A39" s="236" t="s">
        <v>363</v>
      </c>
      <c r="B39" s="236" t="s">
        <v>265</v>
      </c>
      <c r="C39" s="45"/>
      <c r="D39" s="45"/>
      <c r="E39" s="45"/>
      <c r="F39" s="45"/>
      <c r="G39" s="45"/>
      <c r="H39" s="45"/>
      <c r="I39" s="45"/>
      <c r="J39" s="45"/>
      <c r="K39" s="45"/>
      <c r="L39" s="45"/>
      <c r="M39" s="45"/>
      <c r="N39" s="45"/>
      <c r="O39" s="45"/>
      <c r="P39" s="45"/>
      <c r="Q39" s="45"/>
      <c r="R39" s="45">
        <f>'RCA exp g(l)'!W43</f>
        <v>2</v>
      </c>
      <c r="S39" s="45">
        <f>'RCA exp g(l)'!X43</f>
        <v>2</v>
      </c>
      <c r="T39" s="45">
        <f>'RCA exp g(l)'!Y43</f>
        <v>2</v>
      </c>
      <c r="U39" s="45">
        <f>'RCA exp g(l)'!Z43</f>
        <v>2</v>
      </c>
      <c r="V39" s="45">
        <f>'RCA exp g(l)'!AA43</f>
        <v>2</v>
      </c>
      <c r="W39" s="45">
        <f>'RCA exp g(l)'!AB43</f>
        <v>2</v>
      </c>
      <c r="X39" s="45">
        <f>'RCA exp g(l)'!AC43</f>
        <v>2</v>
      </c>
      <c r="Y39" s="45">
        <f>'RCA exp g(l)'!AD43</f>
        <v>1</v>
      </c>
      <c r="Z39" s="45">
        <f>'RCA exp g(l)'!AE43</f>
        <v>1</v>
      </c>
      <c r="AA39" s="45">
        <f>'RCA exp g(l)'!AF43</f>
        <v>1</v>
      </c>
      <c r="AB39" s="45">
        <f>'RCA exp g(l)'!AG43</f>
        <v>1</v>
      </c>
      <c r="AC39" s="45">
        <f>'RCA exp g(l)'!AH43</f>
        <v>1</v>
      </c>
      <c r="AD39" s="45">
        <f>'RCA exp g(l)'!AI43</f>
        <v>1</v>
      </c>
      <c r="AE39" s="45">
        <f>'RCA exp g(l)'!AJ43</f>
        <v>1</v>
      </c>
      <c r="AF39" s="45">
        <f>'RCA exp g(l)'!AK43</f>
        <v>1</v>
      </c>
      <c r="AG39" s="45">
        <f t="shared" si="1"/>
        <v>22</v>
      </c>
      <c r="AH39" s="6"/>
      <c r="AI39" s="45"/>
      <c r="AJ39" s="45"/>
    </row>
    <row r="40" spans="1:36" s="25" customFormat="1" x14ac:dyDescent="0.2">
      <c r="A40" s="25" t="s">
        <v>130</v>
      </c>
      <c r="C40" s="26">
        <f t="shared" ref="C40:M40" si="2">SUM(C20:C36)</f>
        <v>16</v>
      </c>
      <c r="D40" s="26">
        <f t="shared" si="2"/>
        <v>10</v>
      </c>
      <c r="E40" s="26">
        <f t="shared" si="2"/>
        <v>36</v>
      </c>
      <c r="F40" s="26">
        <f t="shared" si="2"/>
        <v>36</v>
      </c>
      <c r="G40" s="26">
        <f t="shared" si="2"/>
        <v>37</v>
      </c>
      <c r="H40" s="26">
        <f t="shared" si="2"/>
        <v>39</v>
      </c>
      <c r="I40" s="26">
        <f t="shared" si="2"/>
        <v>38</v>
      </c>
      <c r="J40" s="26">
        <f t="shared" si="2"/>
        <v>35</v>
      </c>
      <c r="K40" s="26">
        <f t="shared" si="2"/>
        <v>36</v>
      </c>
      <c r="L40" s="26">
        <f t="shared" si="2"/>
        <v>22</v>
      </c>
      <c r="M40" s="26">
        <f t="shared" si="2"/>
        <v>16</v>
      </c>
      <c r="N40" s="26">
        <f>SUM(N20:N37)</f>
        <v>16</v>
      </c>
      <c r="O40" s="26">
        <f t="shared" ref="O40" si="3">SUM(O20:O37)</f>
        <v>14</v>
      </c>
      <c r="P40" s="26">
        <f>SUM(P20:P38)</f>
        <v>16</v>
      </c>
      <c r="Q40" s="26">
        <f t="shared" ref="Q40" si="4">SUM(Q20:Q38)</f>
        <v>24</v>
      </c>
      <c r="R40" s="26">
        <f>SUM(R20:R39)</f>
        <v>0</v>
      </c>
      <c r="S40" s="26">
        <f t="shared" ref="S40:AF40" si="5">SUM(S20:S39)</f>
        <v>2</v>
      </c>
      <c r="T40" s="26">
        <f t="shared" si="5"/>
        <v>1</v>
      </c>
      <c r="U40" s="26">
        <f t="shared" si="5"/>
        <v>-1</v>
      </c>
      <c r="V40" s="26">
        <f t="shared" si="5"/>
        <v>-1</v>
      </c>
      <c r="W40" s="26">
        <f t="shared" si="5"/>
        <v>0</v>
      </c>
      <c r="X40" s="26">
        <f t="shared" si="5"/>
        <v>2</v>
      </c>
      <c r="Y40" s="26">
        <f t="shared" si="5"/>
        <v>-6</v>
      </c>
      <c r="Z40" s="26">
        <f t="shared" si="5"/>
        <v>1</v>
      </c>
      <c r="AA40" s="26">
        <f t="shared" si="5"/>
        <v>7</v>
      </c>
      <c r="AB40" s="26">
        <f t="shared" si="5"/>
        <v>6</v>
      </c>
      <c r="AC40" s="26">
        <f t="shared" si="5"/>
        <v>5</v>
      </c>
      <c r="AD40" s="26">
        <f t="shared" si="5"/>
        <v>2</v>
      </c>
      <c r="AE40" s="26">
        <f t="shared" si="5"/>
        <v>1</v>
      </c>
      <c r="AF40" s="26">
        <f t="shared" si="5"/>
        <v>1</v>
      </c>
      <c r="AG40" s="21">
        <f>SUM(AG20:AG39)</f>
        <v>20</v>
      </c>
      <c r="AH40" s="36">
        <f>SUM(AH20:AH25)</f>
        <v>0</v>
      </c>
    </row>
    <row r="41" spans="1:36" s="3" customFormat="1" x14ac:dyDescent="0.2"/>
    <row r="42" spans="1:36" s="3" customFormat="1" x14ac:dyDescent="0.2"/>
    <row r="43" spans="1:36" s="3" customFormat="1" x14ac:dyDescent="0.2"/>
    <row r="44" spans="1:36" s="3" customFormat="1" x14ac:dyDescent="0.2"/>
    <row r="45" spans="1:36" s="3" customFormat="1" x14ac:dyDescent="0.2"/>
    <row r="46" spans="1:36" s="3" customFormat="1" x14ac:dyDescent="0.2"/>
    <row r="47" spans="1:36" s="3" customFormat="1" x14ac:dyDescent="0.2"/>
    <row r="48" spans="1:3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sheetData>
  <phoneticPr fontId="0" type="noConversion"/>
  <pageMargins left="0.5" right="0.5" top="1" bottom="1" header="0.5" footer="0.5"/>
  <pageSetup paperSize="5" scale="46" orientation="landscape" r:id="rId1"/>
  <headerFooter alignWithMargins="0">
    <oddFooter>&amp;L&amp;"Arial,Bold"&amp;F&amp;C&amp;A&amp;R&amp;D  &amp;T</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36"/>
  <sheetViews>
    <sheetView workbookViewId="0">
      <pane xSplit="2" ySplit="5" topLeftCell="O6" activePane="bottomRight" state="frozen"/>
      <selection activeCell="A41" sqref="A41"/>
      <selection pane="topRight" activeCell="A41" sqref="A41"/>
      <selection pane="bottomLeft" activeCell="A41" sqref="A41"/>
      <selection pane="bottomRight" activeCell="V17" sqref="V17"/>
    </sheetView>
  </sheetViews>
  <sheetFormatPr baseColWidth="10" defaultColWidth="9.140625" defaultRowHeight="12.75" outlineLevelCol="1" x14ac:dyDescent="0.2"/>
  <cols>
    <col min="1" max="1" width="42.7109375" customWidth="1"/>
    <col min="2" max="2" width="20.7109375" customWidth="1"/>
    <col min="3" max="7" width="9.28515625" hidden="1" customWidth="1" outlineLevel="1"/>
    <col min="8" max="8" width="10" hidden="1" customWidth="1" outlineLevel="1"/>
    <col min="9" max="9" width="11.28515625" hidden="1" customWidth="1" outlineLevel="1"/>
    <col min="10" max="10" width="12.5703125" hidden="1" customWidth="1" outlineLevel="1"/>
    <col min="11" max="11" width="12.42578125" style="115" hidden="1" customWidth="1" outlineLevel="1"/>
    <col min="12" max="12" width="13" style="115" hidden="1" customWidth="1" outlineLevel="1"/>
    <col min="13" max="13" width="12.42578125" style="115" hidden="1" customWidth="1" outlineLevel="1"/>
    <col min="14" max="14" width="12" style="115" hidden="1" customWidth="1" outlineLevel="1"/>
    <col min="15" max="15" width="10.85546875" style="115" bestFit="1" customWidth="1" collapsed="1"/>
    <col min="16" max="16" width="11.85546875" style="115" bestFit="1" customWidth="1"/>
    <col min="17" max="17" width="12" style="115" customWidth="1"/>
    <col min="18" max="18" width="10.28515625" style="115" bestFit="1" customWidth="1"/>
    <col min="19" max="20" width="10.28515625" style="115" customWidth="1"/>
    <col min="21" max="21" width="10.85546875" style="115" bestFit="1" customWidth="1"/>
    <col min="22" max="22" width="10.85546875" style="337" bestFit="1" customWidth="1"/>
    <col min="23" max="25" width="11.28515625" style="76" hidden="1" customWidth="1" outlineLevel="1"/>
    <col min="26" max="26" width="11.28515625" style="238" hidden="1" customWidth="1" outlineLevel="1"/>
    <col min="27" max="27" width="9.140625" collapsed="1"/>
  </cols>
  <sheetData>
    <row r="1" spans="1:26" ht="15.75" x14ac:dyDescent="0.25">
      <c r="A1" s="18" t="s">
        <v>258</v>
      </c>
    </row>
    <row r="2" spans="1:26" ht="15.75" x14ac:dyDescent="0.25">
      <c r="A2" s="18" t="s">
        <v>304</v>
      </c>
    </row>
    <row r="5" spans="1:26" s="2" customFormat="1" ht="13.5" thickBot="1" x14ac:dyDescent="0.25">
      <c r="A5" s="19" t="s">
        <v>156</v>
      </c>
      <c r="B5" s="20" t="s">
        <v>26</v>
      </c>
      <c r="C5" s="62" t="s">
        <v>39</v>
      </c>
      <c r="D5" s="62" t="s">
        <v>40</v>
      </c>
      <c r="E5" s="62" t="s">
        <v>41</v>
      </c>
      <c r="F5" s="62" t="s">
        <v>295</v>
      </c>
      <c r="G5" s="62" t="s">
        <v>43</v>
      </c>
      <c r="H5" s="62" t="s">
        <v>44</v>
      </c>
      <c r="I5" s="62" t="s">
        <v>45</v>
      </c>
      <c r="J5" s="62" t="s">
        <v>168</v>
      </c>
      <c r="K5" s="150" t="s">
        <v>169</v>
      </c>
      <c r="L5" s="150" t="s">
        <v>170</v>
      </c>
      <c r="M5" s="150" t="s">
        <v>171</v>
      </c>
      <c r="N5" s="150" t="s">
        <v>172</v>
      </c>
      <c r="O5" s="150" t="s">
        <v>173</v>
      </c>
      <c r="P5" s="150" t="s">
        <v>174</v>
      </c>
      <c r="Q5" s="150" t="s">
        <v>175</v>
      </c>
      <c r="R5" s="150" t="s">
        <v>176</v>
      </c>
      <c r="S5" s="150" t="s">
        <v>177</v>
      </c>
      <c r="T5" s="150" t="s">
        <v>178</v>
      </c>
      <c r="U5" s="150" t="s">
        <v>294</v>
      </c>
      <c r="V5" s="369" t="s">
        <v>309</v>
      </c>
      <c r="W5" s="108" t="s">
        <v>315</v>
      </c>
      <c r="X5" s="108" t="s">
        <v>316</v>
      </c>
      <c r="Y5" s="108" t="s">
        <v>317</v>
      </c>
      <c r="Z5" s="274" t="s">
        <v>318</v>
      </c>
    </row>
    <row r="6" spans="1:26" s="3" customFormat="1" x14ac:dyDescent="0.2">
      <c r="K6" s="121"/>
      <c r="L6" s="121"/>
      <c r="M6" s="121"/>
      <c r="N6" s="121"/>
      <c r="O6" s="121"/>
      <c r="P6" s="121"/>
      <c r="Q6" s="121"/>
      <c r="R6" s="121"/>
      <c r="S6" s="121"/>
      <c r="T6" s="121"/>
      <c r="U6" s="121"/>
      <c r="V6" s="344"/>
      <c r="W6" s="79"/>
      <c r="X6" s="79"/>
      <c r="Y6" s="79"/>
      <c r="Z6" s="240"/>
    </row>
    <row r="7" spans="1:26" s="3" customFormat="1" x14ac:dyDescent="0.2">
      <c r="K7" s="121"/>
      <c r="L7" s="121"/>
      <c r="M7" s="121"/>
      <c r="N7" s="121"/>
      <c r="O7" s="121"/>
      <c r="P7" s="121"/>
      <c r="Q7" s="121"/>
      <c r="R7" s="121"/>
      <c r="S7" s="121"/>
      <c r="T7" s="121"/>
      <c r="U7" s="121"/>
      <c r="V7" s="344"/>
      <c r="W7" s="79"/>
      <c r="X7" s="79"/>
      <c r="Y7" s="79"/>
      <c r="Z7" s="240"/>
    </row>
    <row r="8" spans="1:26" s="3" customFormat="1" x14ac:dyDescent="0.2">
      <c r="A8" s="12" t="s">
        <v>245</v>
      </c>
      <c r="K8" s="121"/>
      <c r="L8" s="121"/>
      <c r="M8" s="121"/>
      <c r="N8" s="121"/>
      <c r="O8" s="121"/>
      <c r="P8" s="121"/>
      <c r="Q8" s="121"/>
      <c r="R8" s="121"/>
      <c r="S8" s="121"/>
      <c r="T8" s="121"/>
      <c r="U8" s="121"/>
      <c r="V8" s="344"/>
      <c r="W8" s="79"/>
      <c r="X8" s="79"/>
      <c r="Y8" s="79"/>
      <c r="Z8" s="240"/>
    </row>
    <row r="9" spans="1:26" s="3" customFormat="1" x14ac:dyDescent="0.2">
      <c r="K9" s="121"/>
      <c r="L9" s="121"/>
      <c r="M9" s="121"/>
      <c r="N9" s="121"/>
      <c r="O9" s="121"/>
      <c r="P9" s="121"/>
      <c r="Q9" s="121"/>
      <c r="R9" s="121"/>
      <c r="S9" s="121"/>
      <c r="T9" s="121"/>
      <c r="U9" s="121"/>
      <c r="V9" s="344"/>
      <c r="W9" s="79"/>
      <c r="X9" s="79"/>
      <c r="Y9" s="79"/>
      <c r="Z9" s="240"/>
    </row>
    <row r="10" spans="1:26" s="3" customFormat="1" x14ac:dyDescent="0.2">
      <c r="A10" s="3" t="s">
        <v>218</v>
      </c>
      <c r="B10" s="3" t="s">
        <v>238</v>
      </c>
      <c r="C10" s="3">
        <f t="shared" ref="C10:H10" si="0">C21/2</f>
        <v>15.5</v>
      </c>
      <c r="D10" s="3">
        <f t="shared" si="0"/>
        <v>10.5</v>
      </c>
      <c r="E10" s="3">
        <f t="shared" si="0"/>
        <v>12.5</v>
      </c>
      <c r="F10" s="3">
        <f t="shared" si="0"/>
        <v>11</v>
      </c>
      <c r="G10" s="3">
        <f t="shared" si="0"/>
        <v>9</v>
      </c>
      <c r="H10" s="3">
        <f t="shared" si="0"/>
        <v>16</v>
      </c>
      <c r="I10" s="3">
        <f t="shared" ref="I10:O10" si="1">I21/2</f>
        <v>16.324000000000002</v>
      </c>
      <c r="J10" s="3">
        <f t="shared" si="1"/>
        <v>4.5380000000000003</v>
      </c>
      <c r="K10" s="121">
        <f t="shared" si="1"/>
        <v>5.1684999999999999</v>
      </c>
      <c r="L10" s="121">
        <f t="shared" si="1"/>
        <v>5.7975000000000003</v>
      </c>
      <c r="M10" s="121">
        <f t="shared" si="1"/>
        <v>3.665</v>
      </c>
      <c r="N10" s="121">
        <f t="shared" si="1"/>
        <v>4.6524999999999999</v>
      </c>
      <c r="O10" s="121">
        <f t="shared" si="1"/>
        <v>5.4195000000000002</v>
      </c>
      <c r="P10" s="121">
        <f t="shared" ref="P10:U10" si="2">P21/2</f>
        <v>4.9725000000000001</v>
      </c>
      <c r="Q10" s="121">
        <f t="shared" si="2"/>
        <v>6.4095000000000004</v>
      </c>
      <c r="R10" s="121">
        <f t="shared" si="2"/>
        <v>7.5060000000000002</v>
      </c>
      <c r="S10" s="121">
        <f t="shared" si="2"/>
        <v>7.2874999999999996</v>
      </c>
      <c r="T10" s="121">
        <f t="shared" si="2"/>
        <v>6.7255000000000003</v>
      </c>
      <c r="U10" s="121">
        <f t="shared" si="2"/>
        <v>3.2679999999999998</v>
      </c>
      <c r="V10" s="344">
        <f>V21/2</f>
        <v>4.1120000000000001</v>
      </c>
      <c r="W10" s="79">
        <f>W21/2</f>
        <v>4.2147999999999994</v>
      </c>
      <c r="X10" s="79">
        <f>X21/2</f>
        <v>4.3201699999999992</v>
      </c>
      <c r="Y10" s="79">
        <f>Y21/2</f>
        <v>4.4281742499999988</v>
      </c>
      <c r="Z10" s="240">
        <f>Z21/2</f>
        <v>4.5388786062499982</v>
      </c>
    </row>
    <row r="11" spans="1:26" s="3" customFormat="1" x14ac:dyDescent="0.2">
      <c r="A11" s="3" t="s">
        <v>219</v>
      </c>
      <c r="B11" s="3" t="s">
        <v>238</v>
      </c>
      <c r="C11" s="3">
        <f t="shared" ref="C11:H11" si="3">+C23/2</f>
        <v>-3</v>
      </c>
      <c r="D11" s="3">
        <f t="shared" si="3"/>
        <v>-7</v>
      </c>
      <c r="E11" s="3">
        <f t="shared" si="3"/>
        <v>-8</v>
      </c>
      <c r="F11" s="3">
        <f t="shared" si="3"/>
        <v>-11</v>
      </c>
      <c r="G11" s="3">
        <f t="shared" si="3"/>
        <v>-9.5</v>
      </c>
      <c r="H11" s="3">
        <f t="shared" si="3"/>
        <v>-8</v>
      </c>
      <c r="I11" s="3">
        <f t="shared" ref="I11:O11" si="4">+I23/2</f>
        <v>-5</v>
      </c>
      <c r="J11" s="3">
        <f t="shared" si="4"/>
        <v>-18</v>
      </c>
      <c r="K11" s="121">
        <f t="shared" si="4"/>
        <v>-18</v>
      </c>
      <c r="L11" s="121">
        <f t="shared" si="4"/>
        <v>-18.5</v>
      </c>
      <c r="M11" s="121">
        <f t="shared" si="4"/>
        <v>-19.5</v>
      </c>
      <c r="N11" s="121">
        <f t="shared" si="4"/>
        <v>-19</v>
      </c>
      <c r="O11" s="121">
        <f t="shared" si="4"/>
        <v>-17.5</v>
      </c>
      <c r="P11" s="121">
        <f t="shared" ref="P11:U11" si="5">+P23/2</f>
        <v>-18</v>
      </c>
      <c r="Q11" s="121">
        <f t="shared" si="5"/>
        <v>-11</v>
      </c>
      <c r="R11" s="121">
        <f t="shared" si="5"/>
        <v>-8</v>
      </c>
      <c r="S11" s="121">
        <f t="shared" si="5"/>
        <v>-8</v>
      </c>
      <c r="T11" s="121">
        <f t="shared" si="5"/>
        <v>-7</v>
      </c>
      <c r="U11" s="121">
        <f t="shared" si="5"/>
        <v>-8</v>
      </c>
      <c r="V11" s="344">
        <f>+V23/2</f>
        <v>-12</v>
      </c>
      <c r="W11" s="79">
        <f>+W23/2</f>
        <v>0</v>
      </c>
      <c r="X11" s="79">
        <f>+X23/2</f>
        <v>-1</v>
      </c>
      <c r="Y11" s="79">
        <f>+Y23/2</f>
        <v>-0.5</v>
      </c>
      <c r="Z11" s="240">
        <f>+Z23/2</f>
        <v>0.5</v>
      </c>
    </row>
    <row r="12" spans="1:26" s="3" customFormat="1" x14ac:dyDescent="0.2">
      <c r="A12" s="3" t="s">
        <v>221</v>
      </c>
      <c r="B12" s="3" t="s">
        <v>238</v>
      </c>
      <c r="C12" s="3">
        <f t="shared" ref="C12:H12" si="6">C24/2</f>
        <v>8.1571875000000009</v>
      </c>
      <c r="D12" s="3">
        <f t="shared" si="6"/>
        <v>6.9265625000000002</v>
      </c>
      <c r="E12" s="3">
        <f t="shared" si="6"/>
        <v>5.8181249999999993</v>
      </c>
      <c r="F12" s="3">
        <f t="shared" si="6"/>
        <v>5.0118750000000007</v>
      </c>
      <c r="G12" s="3">
        <f t="shared" si="6"/>
        <v>3.875</v>
      </c>
      <c r="H12" s="3">
        <f t="shared" si="6"/>
        <v>5.3707500000000001</v>
      </c>
      <c r="I12" s="3">
        <f t="shared" ref="I12:O12" si="7">I24/2</f>
        <v>5.5563987499999996</v>
      </c>
      <c r="J12" s="3">
        <f t="shared" si="7"/>
        <v>6.8163948750000003</v>
      </c>
      <c r="K12" s="121">
        <f t="shared" si="7"/>
        <v>2.1683215625000001</v>
      </c>
      <c r="L12" s="121">
        <f t="shared" si="7"/>
        <v>2.2204085000000005</v>
      </c>
      <c r="M12" s="121">
        <f t="shared" si="7"/>
        <v>1.9964894999999998</v>
      </c>
      <c r="N12" s="121">
        <f t="shared" si="7"/>
        <v>2.449352625</v>
      </c>
      <c r="O12" s="121">
        <f t="shared" si="7"/>
        <v>2.4896450000000003</v>
      </c>
      <c r="P12" s="121">
        <f t="shared" ref="P12:U12" si="8">P24/2</f>
        <v>2.3005400000000003</v>
      </c>
      <c r="Q12" s="121">
        <f t="shared" si="8"/>
        <v>3.4499597500000001</v>
      </c>
      <c r="R12" s="121">
        <f t="shared" si="8"/>
        <v>3.9298111874999995</v>
      </c>
      <c r="S12" s="121">
        <f t="shared" si="8"/>
        <v>3.3667862500000005</v>
      </c>
      <c r="T12" s="121">
        <f t="shared" si="8"/>
        <v>3.2599625000000003</v>
      </c>
      <c r="U12" s="121">
        <f t="shared" si="8"/>
        <v>3.6026182499999999</v>
      </c>
      <c r="V12" s="344">
        <f>V24/2</f>
        <v>2.7467487500000005</v>
      </c>
      <c r="W12" s="79">
        <f>W24/2</f>
        <v>2.4956649250000003</v>
      </c>
      <c r="X12" s="79">
        <f>X24/2</f>
        <v>2.5038672295000004</v>
      </c>
      <c r="Y12" s="79">
        <f>Y24/2</f>
        <v>2.5124054391495316</v>
      </c>
      <c r="Z12" s="240">
        <f>Z24/2</f>
        <v>2.5213052492092798</v>
      </c>
    </row>
    <row r="13" spans="1:26" s="3" customFormat="1" x14ac:dyDescent="0.2">
      <c r="A13" s="3" t="s">
        <v>222</v>
      </c>
      <c r="B13" s="3" t="s">
        <v>238</v>
      </c>
      <c r="C13" s="3">
        <f t="shared" ref="C13:H14" si="9">+C25/2</f>
        <v>0</v>
      </c>
      <c r="D13" s="3">
        <f t="shared" si="9"/>
        <v>0</v>
      </c>
      <c r="E13" s="3">
        <f t="shared" si="9"/>
        <v>0</v>
      </c>
      <c r="F13" s="3">
        <f t="shared" si="9"/>
        <v>0</v>
      </c>
      <c r="G13" s="3">
        <f t="shared" si="9"/>
        <v>0</v>
      </c>
      <c r="H13" s="3">
        <f t="shared" si="9"/>
        <v>19.5</v>
      </c>
      <c r="I13" s="3">
        <f t="shared" ref="I13:O14" si="10">+I25/2</f>
        <v>0</v>
      </c>
      <c r="J13" s="3">
        <f t="shared" si="10"/>
        <v>0</v>
      </c>
      <c r="K13" s="121">
        <f t="shared" si="10"/>
        <v>0</v>
      </c>
      <c r="L13" s="121">
        <f t="shared" si="10"/>
        <v>0</v>
      </c>
      <c r="M13" s="121">
        <f t="shared" si="10"/>
        <v>0</v>
      </c>
      <c r="N13" s="121">
        <f t="shared" si="10"/>
        <v>0</v>
      </c>
      <c r="O13" s="121">
        <f t="shared" si="10"/>
        <v>0</v>
      </c>
      <c r="P13" s="121">
        <f t="shared" ref="P13:R14" si="11">+P25/2</f>
        <v>0</v>
      </c>
      <c r="Q13" s="121">
        <f t="shared" si="11"/>
        <v>0</v>
      </c>
      <c r="R13" s="121">
        <f t="shared" si="11"/>
        <v>0</v>
      </c>
      <c r="S13" s="121">
        <f t="shared" ref="S13:U14" si="12">+S25/2</f>
        <v>0</v>
      </c>
      <c r="T13" s="121">
        <f t="shared" si="12"/>
        <v>0</v>
      </c>
      <c r="U13" s="121">
        <f t="shared" si="12"/>
        <v>0</v>
      </c>
      <c r="V13" s="344">
        <f t="shared" ref="V13:X14" si="13">+V25/2</f>
        <v>0</v>
      </c>
      <c r="W13" s="79">
        <f t="shared" si="13"/>
        <v>0</v>
      </c>
      <c r="X13" s="79">
        <f t="shared" si="13"/>
        <v>0</v>
      </c>
      <c r="Y13" s="79">
        <f t="shared" ref="Y13:Z13" si="14">+Y25/2</f>
        <v>0</v>
      </c>
      <c r="Z13" s="240">
        <f t="shared" si="14"/>
        <v>0</v>
      </c>
    </row>
    <row r="14" spans="1:26" s="3" customFormat="1" x14ac:dyDescent="0.2">
      <c r="A14" s="3" t="s">
        <v>247</v>
      </c>
      <c r="B14" s="3" t="s">
        <v>238</v>
      </c>
      <c r="C14" s="3">
        <f t="shared" si="9"/>
        <v>0</v>
      </c>
      <c r="D14" s="3">
        <f t="shared" si="9"/>
        <v>0</v>
      </c>
      <c r="E14" s="3">
        <f t="shared" si="9"/>
        <v>0</v>
      </c>
      <c r="F14" s="3">
        <f t="shared" si="9"/>
        <v>0</v>
      </c>
      <c r="G14" s="3">
        <f t="shared" si="9"/>
        <v>0</v>
      </c>
      <c r="H14" s="3">
        <f t="shared" si="9"/>
        <v>-19.5</v>
      </c>
      <c r="I14" s="3">
        <f t="shared" si="10"/>
        <v>0</v>
      </c>
      <c r="J14" s="3">
        <f t="shared" si="10"/>
        <v>0</v>
      </c>
      <c r="K14" s="121">
        <f t="shared" si="10"/>
        <v>0</v>
      </c>
      <c r="L14" s="121">
        <f t="shared" si="10"/>
        <v>0</v>
      </c>
      <c r="M14" s="121">
        <f t="shared" si="10"/>
        <v>0</v>
      </c>
      <c r="N14" s="121">
        <f t="shared" si="10"/>
        <v>0</v>
      </c>
      <c r="O14" s="121">
        <f t="shared" si="10"/>
        <v>0</v>
      </c>
      <c r="P14" s="121">
        <f t="shared" si="11"/>
        <v>0</v>
      </c>
      <c r="Q14" s="121">
        <f t="shared" si="11"/>
        <v>0</v>
      </c>
      <c r="R14" s="121">
        <f t="shared" si="11"/>
        <v>0</v>
      </c>
      <c r="S14" s="121">
        <f t="shared" si="12"/>
        <v>0</v>
      </c>
      <c r="T14" s="121">
        <f t="shared" si="12"/>
        <v>0</v>
      </c>
      <c r="U14" s="121">
        <f t="shared" si="12"/>
        <v>0</v>
      </c>
      <c r="V14" s="344">
        <f t="shared" si="13"/>
        <v>0</v>
      </c>
      <c r="W14" s="79">
        <f t="shared" si="13"/>
        <v>0</v>
      </c>
      <c r="X14" s="79">
        <f t="shared" si="13"/>
        <v>0</v>
      </c>
      <c r="Y14" s="79">
        <f t="shared" ref="Y14:Z14" si="15">+Y26/2</f>
        <v>0</v>
      </c>
      <c r="Z14" s="240">
        <f t="shared" si="15"/>
        <v>0</v>
      </c>
    </row>
    <row r="15" spans="1:26" s="49" customFormat="1" ht="16.5" thickBot="1" x14ac:dyDescent="0.3">
      <c r="A15" s="52" t="s">
        <v>220</v>
      </c>
      <c r="B15" s="9" t="s">
        <v>241</v>
      </c>
      <c r="C15" s="54">
        <f t="shared" ref="C15:J15" si="16">SUM(C10:C14)</f>
        <v>20.657187499999999</v>
      </c>
      <c r="D15" s="54">
        <f t="shared" si="16"/>
        <v>10.426562499999999</v>
      </c>
      <c r="E15" s="54">
        <f t="shared" si="16"/>
        <v>10.318124999999998</v>
      </c>
      <c r="F15" s="54">
        <f t="shared" si="16"/>
        <v>5.0118750000000007</v>
      </c>
      <c r="G15" s="54">
        <f t="shared" si="16"/>
        <v>3.375</v>
      </c>
      <c r="H15" s="54">
        <f t="shared" si="16"/>
        <v>13.370750000000001</v>
      </c>
      <c r="I15" s="54">
        <f t="shared" si="16"/>
        <v>16.880398750000001</v>
      </c>
      <c r="J15" s="54">
        <f t="shared" si="16"/>
        <v>-6.6456051249999994</v>
      </c>
      <c r="K15" s="126">
        <f t="shared" ref="K15:X15" si="17">SUM(K10:K14)</f>
        <v>-10.663178437500001</v>
      </c>
      <c r="L15" s="126">
        <f t="shared" si="17"/>
        <v>-10.482091499999999</v>
      </c>
      <c r="M15" s="126">
        <f t="shared" si="17"/>
        <v>-13.838510500000002</v>
      </c>
      <c r="N15" s="126">
        <f t="shared" si="17"/>
        <v>-11.898147375000001</v>
      </c>
      <c r="O15" s="126">
        <f t="shared" si="17"/>
        <v>-9.5908550000000012</v>
      </c>
      <c r="P15" s="126">
        <f t="shared" si="17"/>
        <v>-10.72696</v>
      </c>
      <c r="Q15" s="126">
        <f t="shared" si="17"/>
        <v>-1.1405402499999995</v>
      </c>
      <c r="R15" s="126">
        <f t="shared" si="17"/>
        <v>3.4358111874999997</v>
      </c>
      <c r="S15" s="126">
        <f t="shared" si="17"/>
        <v>2.6542862500000002</v>
      </c>
      <c r="T15" s="126">
        <f t="shared" si="17"/>
        <v>2.9854625000000006</v>
      </c>
      <c r="U15" s="126">
        <f t="shared" si="17"/>
        <v>-1.1293817500000003</v>
      </c>
      <c r="V15" s="365">
        <f t="shared" si="17"/>
        <v>-5.1412512499999998</v>
      </c>
      <c r="W15" s="99">
        <f t="shared" si="17"/>
        <v>6.7104649250000001</v>
      </c>
      <c r="X15" s="99">
        <f t="shared" si="17"/>
        <v>5.8240372295</v>
      </c>
      <c r="Y15" s="99">
        <f t="shared" ref="Y15:Z15" si="18">SUM(Y10:Y14)</f>
        <v>6.4405796891495299</v>
      </c>
      <c r="Z15" s="270">
        <f t="shared" si="18"/>
        <v>7.560183855459278</v>
      </c>
    </row>
    <row r="16" spans="1:26" s="3" customFormat="1" ht="13.5" thickTop="1" x14ac:dyDescent="0.2">
      <c r="K16" s="121"/>
      <c r="L16" s="121"/>
      <c r="M16" s="121"/>
      <c r="N16" s="121"/>
      <c r="O16" s="121"/>
      <c r="P16" s="121"/>
      <c r="Q16" s="121"/>
      <c r="R16" s="121"/>
      <c r="S16" s="121"/>
      <c r="T16" s="121"/>
      <c r="U16" s="121"/>
      <c r="V16" s="344"/>
      <c r="W16" s="79"/>
      <c r="X16" s="79"/>
      <c r="Y16" s="79"/>
      <c r="Z16" s="240"/>
    </row>
    <row r="17" spans="1:26" s="3" customFormat="1" x14ac:dyDescent="0.2">
      <c r="H17" s="3" t="s">
        <v>307</v>
      </c>
      <c r="I17" s="3">
        <f t="shared" ref="I17:X17" si="19">I15*1000000</f>
        <v>16880398.75</v>
      </c>
      <c r="J17" s="3">
        <f t="shared" si="19"/>
        <v>-6645605.1249999991</v>
      </c>
      <c r="K17" s="3">
        <f t="shared" si="19"/>
        <v>-10663178.437500002</v>
      </c>
      <c r="L17" s="3">
        <f t="shared" si="19"/>
        <v>-10482091.5</v>
      </c>
      <c r="M17" s="3">
        <f t="shared" si="19"/>
        <v>-13838510.500000002</v>
      </c>
      <c r="N17" s="3">
        <f t="shared" si="19"/>
        <v>-11898147.375</v>
      </c>
      <c r="O17" s="121">
        <f t="shared" si="19"/>
        <v>-9590855.0000000019</v>
      </c>
      <c r="P17" s="121">
        <f t="shared" si="19"/>
        <v>-10726960</v>
      </c>
      <c r="Q17" s="121">
        <f t="shared" si="19"/>
        <v>-1140540.2499999995</v>
      </c>
      <c r="R17" s="121">
        <f t="shared" si="19"/>
        <v>3435811.1874999995</v>
      </c>
      <c r="S17" s="121">
        <f t="shared" si="19"/>
        <v>2654286.25</v>
      </c>
      <c r="T17" s="121">
        <f t="shared" si="19"/>
        <v>2985462.5000000005</v>
      </c>
      <c r="U17" s="121">
        <f t="shared" si="19"/>
        <v>-1129381.7500000002</v>
      </c>
      <c r="V17" s="344">
        <f t="shared" si="19"/>
        <v>-5141251.25</v>
      </c>
      <c r="W17" s="79">
        <f t="shared" si="19"/>
        <v>6710464.9249999998</v>
      </c>
      <c r="X17" s="79">
        <f t="shared" si="19"/>
        <v>5824037.2295000004</v>
      </c>
      <c r="Y17" s="79">
        <f t="shared" ref="Y17:Z17" si="20">Y15*1000000</f>
        <v>6440579.6891495297</v>
      </c>
      <c r="Z17" s="240">
        <f t="shared" si="20"/>
        <v>7560183.8554592775</v>
      </c>
    </row>
    <row r="18" spans="1:26" s="3" customFormat="1" x14ac:dyDescent="0.2">
      <c r="K18" s="121"/>
      <c r="L18" s="121"/>
      <c r="M18" s="121"/>
      <c r="N18" s="121"/>
      <c r="O18" s="121"/>
      <c r="P18" s="121" t="s">
        <v>366</v>
      </c>
      <c r="Q18" s="125">
        <f>-'RCA liab'!Q32</f>
        <v>0</v>
      </c>
      <c r="R18" s="121"/>
      <c r="S18" s="121"/>
      <c r="T18" s="121"/>
      <c r="U18" s="121"/>
      <c r="V18" s="344"/>
      <c r="W18" s="79"/>
      <c r="X18" s="79"/>
      <c r="Y18" s="79"/>
      <c r="Z18" s="240"/>
    </row>
    <row r="19" spans="1:26" s="3" customFormat="1" x14ac:dyDescent="0.2">
      <c r="A19" s="53" t="s">
        <v>242</v>
      </c>
      <c r="K19" s="121"/>
      <c r="L19" s="121"/>
      <c r="M19" s="121"/>
      <c r="N19" s="121"/>
      <c r="O19" s="121"/>
      <c r="P19" s="121" t="s">
        <v>367</v>
      </c>
      <c r="Q19" s="121">
        <f>SUM(Q17:Q18)</f>
        <v>-1140540.2499999995</v>
      </c>
      <c r="R19" s="121"/>
      <c r="S19" s="121"/>
      <c r="T19" s="121"/>
      <c r="U19" s="121"/>
      <c r="V19" s="344"/>
      <c r="W19" s="79"/>
      <c r="X19" s="79"/>
      <c r="Y19" s="79"/>
      <c r="Z19" s="240"/>
    </row>
    <row r="20" spans="1:26" s="3" customFormat="1" x14ac:dyDescent="0.2">
      <c r="K20" s="121"/>
      <c r="L20" s="121"/>
      <c r="M20" s="121"/>
      <c r="N20" s="121"/>
      <c r="O20" s="121"/>
      <c r="P20" s="121"/>
      <c r="Q20" s="121"/>
      <c r="R20" s="121"/>
      <c r="S20" s="121"/>
      <c r="T20" s="121"/>
      <c r="U20" s="121"/>
      <c r="V20" s="344"/>
      <c r="W20" s="79"/>
      <c r="X20" s="79"/>
      <c r="Y20" s="79"/>
      <c r="Z20" s="240"/>
    </row>
    <row r="21" spans="1:26" s="3" customFormat="1" x14ac:dyDescent="0.2">
      <c r="A21" s="3" t="s">
        <v>218</v>
      </c>
      <c r="B21" s="3" t="s">
        <v>259</v>
      </c>
      <c r="C21" s="45">
        <f>'RCA data'!D13</f>
        <v>31</v>
      </c>
      <c r="D21" s="45">
        <f>'RCA data'!E13</f>
        <v>21</v>
      </c>
      <c r="E21" s="45">
        <f>'RCA data'!F13</f>
        <v>25</v>
      </c>
      <c r="F21" s="45">
        <f>'RCA data'!G13</f>
        <v>22</v>
      </c>
      <c r="G21" s="45">
        <f>'RCA data'!H13</f>
        <v>18</v>
      </c>
      <c r="H21" s="45">
        <f>'RCA data'!I13</f>
        <v>32</v>
      </c>
      <c r="I21" s="45">
        <f>'RCA data'!J13</f>
        <v>32.648000000000003</v>
      </c>
      <c r="J21" s="45">
        <f>'RCA data'!K13</f>
        <v>9.0760000000000005</v>
      </c>
      <c r="K21" s="127">
        <f>'RCA data'!L13</f>
        <v>10.337</v>
      </c>
      <c r="L21" s="127">
        <f>'RCA data'!M13</f>
        <v>11.595000000000001</v>
      </c>
      <c r="M21" s="127">
        <f>'RCA data'!N13</f>
        <v>7.33</v>
      </c>
      <c r="N21" s="127">
        <f>'RCA data'!O13</f>
        <v>9.3049999999999997</v>
      </c>
      <c r="O21" s="127">
        <f>'RCA data'!P13</f>
        <v>10.839</v>
      </c>
      <c r="P21" s="127">
        <f>'RCA data'!Q13</f>
        <v>9.9450000000000003</v>
      </c>
      <c r="Q21" s="127">
        <f>'RCA data'!R13</f>
        <v>12.819000000000001</v>
      </c>
      <c r="R21" s="127">
        <f>'RCA data'!S13</f>
        <v>15.012</v>
      </c>
      <c r="S21" s="127">
        <f>'RCA data'!T13</f>
        <v>14.574999999999999</v>
      </c>
      <c r="T21" s="127">
        <f>'RCA data'!U13</f>
        <v>13.451000000000001</v>
      </c>
      <c r="U21" s="127">
        <f>'RCA data'!V13</f>
        <v>6.5359999999999996</v>
      </c>
      <c r="V21" s="366">
        <f>'RCA data'!W13</f>
        <v>8.2240000000000002</v>
      </c>
      <c r="W21" s="100">
        <f>'RCA data'!X13</f>
        <v>8.4295999999999989</v>
      </c>
      <c r="X21" s="100">
        <f>'RCA data'!Y13</f>
        <v>8.6403399999999984</v>
      </c>
      <c r="Y21" s="100">
        <f>'RCA data'!Z13</f>
        <v>8.8563484999999975</v>
      </c>
      <c r="Z21" s="271">
        <f>'RCA data'!AA13</f>
        <v>9.0777572124999963</v>
      </c>
    </row>
    <row r="22" spans="1:26" s="3" customFormat="1" x14ac:dyDescent="0.2">
      <c r="A22" s="3" t="s">
        <v>225</v>
      </c>
      <c r="B22" s="3" t="s">
        <v>259</v>
      </c>
      <c r="C22" s="3">
        <f>('RCA data'!D26+'RCA data'!D27)*-1</f>
        <v>0</v>
      </c>
      <c r="D22" s="3">
        <f>('RCA data'!E26+'RCA data'!E27)*-1</f>
        <v>0</v>
      </c>
      <c r="E22" s="3">
        <f>('RCA data'!F26+'RCA data'!F27)*-1</f>
        <v>0</v>
      </c>
      <c r="F22" s="3">
        <f>('RCA data'!G26+'RCA data'!G27)*-1</f>
        <v>0</v>
      </c>
      <c r="G22" s="3">
        <f>('RCA data'!H26+'RCA data'!H27)*-1</f>
        <v>-0.8</v>
      </c>
      <c r="H22" s="3">
        <f>('RCA data'!I26+'RCA data'!I27)*-1</f>
        <v>-1.1000000000000001</v>
      </c>
      <c r="I22" s="3">
        <f>('RCA data'!J26+'RCA data'!J27)*-1</f>
        <v>-0.91</v>
      </c>
      <c r="J22" s="3">
        <f>('RCA data'!K26+'RCA data'!K27)*-1</f>
        <v>-2.9640000000000004</v>
      </c>
      <c r="K22" s="121">
        <f>('RCA data'!L26+'RCA data'!L27)*-1</f>
        <v>-2.944</v>
      </c>
      <c r="L22" s="121">
        <f>('RCA data'!M26+'RCA data'!M27)*-1</f>
        <v>-3.5700000000000003</v>
      </c>
      <c r="M22" s="121">
        <f>('RCA data'!N26+'RCA data'!N27)*-1</f>
        <v>-2.258</v>
      </c>
      <c r="N22" s="121">
        <f>('RCA data'!O26+'RCA data'!O27)*-1</f>
        <v>-2.1822599999999999</v>
      </c>
      <c r="O22" s="121">
        <f>('RCA data'!P26+'RCA data'!P27)*-1</f>
        <v>-4.2814879999999995</v>
      </c>
      <c r="P22" s="121">
        <f>('RCA data'!Q26+'RCA data'!Q27)*-1</f>
        <v>-2.9619999999999997</v>
      </c>
      <c r="Q22" s="121">
        <f>('RCA data'!R26+'RCA data'!R27)*-1</f>
        <v>-5.4570000000000007</v>
      </c>
      <c r="R22" s="121">
        <f>('RCA data'!S26+'RCA data'!S27)*-1</f>
        <v>-5.2569999999999997</v>
      </c>
      <c r="S22" s="121">
        <f>('RCA data'!T26+'RCA data'!T27)*-1</f>
        <v>-5.0270000000000001</v>
      </c>
      <c r="T22" s="121">
        <f>('RCA data'!U26+'RCA data'!U27)*-1</f>
        <v>-8.4870000000000001</v>
      </c>
      <c r="U22" s="121">
        <f>('RCA data'!V26+'RCA data'!V27)*-1</f>
        <v>-6.2170000000000005</v>
      </c>
      <c r="V22" s="344">
        <f>('RCA data'!W26+'RCA data'!W27)*-1</f>
        <v>-7.9420000000000002</v>
      </c>
      <c r="W22" s="79">
        <f>('RCA data'!X26+'RCA data'!X27)*-1</f>
        <v>-8.1405499999999993</v>
      </c>
      <c r="X22" s="79">
        <f>('RCA data'!Y26+'RCA data'!Y27)*-1</f>
        <v>-8.3440637499999983</v>
      </c>
      <c r="Y22" s="79">
        <f>('RCA data'!Z26+'RCA data'!Z27)*-1</f>
        <v>-8.5526653437499967</v>
      </c>
      <c r="Z22" s="240">
        <f>('RCA data'!AA26+'RCA data'!AA27)*-1</f>
        <v>-8.7664819773437479</v>
      </c>
    </row>
    <row r="23" spans="1:26" s="3" customFormat="1" x14ac:dyDescent="0.2">
      <c r="A23" s="3" t="s">
        <v>219</v>
      </c>
      <c r="B23" s="3" t="s">
        <v>265</v>
      </c>
      <c r="C23" s="3">
        <f>'RCA exp g(l)'!C56*-1</f>
        <v>-6</v>
      </c>
      <c r="D23" s="3">
        <f>'RCA exp g(l)'!D56*-1</f>
        <v>-14</v>
      </c>
      <c r="E23" s="3">
        <f>'RCA exp g(l)'!E56*-1</f>
        <v>-16</v>
      </c>
      <c r="F23" s="3">
        <f>'RCA exp g(l)'!F56*-1</f>
        <v>-22</v>
      </c>
      <c r="G23" s="3">
        <f>'RCA exp g(l)'!G56*-1</f>
        <v>-19</v>
      </c>
      <c r="H23" s="3">
        <f>'RCA exp g(l)'!H56*-1</f>
        <v>-16</v>
      </c>
      <c r="I23" s="69">
        <f>'RCA exp g(l)'!I56*-1</f>
        <v>-10</v>
      </c>
      <c r="J23" s="69">
        <f>'RCA exp g(l)'!J56*-1</f>
        <v>-36</v>
      </c>
      <c r="K23" s="151">
        <f>'RCA exp g(l)'!K56*-1</f>
        <v>-36</v>
      </c>
      <c r="L23" s="151">
        <f>'RCA exp g(l)'!L56*-1</f>
        <v>-37</v>
      </c>
      <c r="M23" s="151">
        <f>'RCA exp g(l)'!M56*-1</f>
        <v>-39</v>
      </c>
      <c r="N23" s="151">
        <f>'RCA exp g(l)'!N56*-1</f>
        <v>-38</v>
      </c>
      <c r="O23" s="151">
        <f>'RCA exp g(l)'!O56*-1</f>
        <v>-35</v>
      </c>
      <c r="P23" s="151">
        <f>'RCA exp g(l)'!P56*-1</f>
        <v>-36</v>
      </c>
      <c r="Q23" s="151">
        <f>'RCA exp g(l)'!Q56*-1</f>
        <v>-22</v>
      </c>
      <c r="R23" s="151">
        <f>'RCA exp g(l)'!R56*-1</f>
        <v>-16</v>
      </c>
      <c r="S23" s="151">
        <f>'RCA exp g(l)'!S56*-1</f>
        <v>-16</v>
      </c>
      <c r="T23" s="151">
        <f>'RCA exp g(l)'!T56*-1</f>
        <v>-14</v>
      </c>
      <c r="U23" s="151">
        <f>'RCA exp g(l)'!U56*-1</f>
        <v>-16</v>
      </c>
      <c r="V23" s="370">
        <f>'RCA exp g(l)'!V56*-1</f>
        <v>-24</v>
      </c>
      <c r="W23" s="109">
        <f>'RCA exp g(l)'!W56*-1</f>
        <v>0</v>
      </c>
      <c r="X23" s="109">
        <f>'RCA exp g(l)'!X56*-1</f>
        <v>-2</v>
      </c>
      <c r="Y23" s="109">
        <f>'RCA exp g(l)'!Y56*-1</f>
        <v>-1</v>
      </c>
      <c r="Z23" s="275">
        <f>'RCA exp g(l)'!Z56*-1</f>
        <v>1</v>
      </c>
    </row>
    <row r="24" spans="1:26" s="3" customFormat="1" x14ac:dyDescent="0.2">
      <c r="A24" s="3" t="s">
        <v>221</v>
      </c>
      <c r="B24" s="3" t="s">
        <v>276</v>
      </c>
      <c r="C24" s="3">
        <f>'RCA interest'!C14</f>
        <v>16.314375000000002</v>
      </c>
      <c r="D24" s="3">
        <f>'RCA interest'!D14</f>
        <v>13.853125</v>
      </c>
      <c r="E24" s="3">
        <f>'RCA interest'!E14</f>
        <v>11.636249999999999</v>
      </c>
      <c r="F24" s="3">
        <f>'RCA interest'!F14</f>
        <v>10.023750000000001</v>
      </c>
      <c r="G24" s="3">
        <f>'RCA interest'!G14</f>
        <v>7.75</v>
      </c>
      <c r="H24" s="3">
        <f>'RCA interest'!H14</f>
        <v>10.7415</v>
      </c>
      <c r="I24" s="3">
        <f>'RCA interest'!I14</f>
        <v>11.112797499999999</v>
      </c>
      <c r="J24" s="3">
        <f>'RCA interest'!J14</f>
        <v>13.632789750000001</v>
      </c>
      <c r="K24" s="121">
        <f>'RCA interest'!K14</f>
        <v>4.3366431250000002</v>
      </c>
      <c r="L24" s="121">
        <f>'RCA interest'!L14</f>
        <v>4.4408170000000009</v>
      </c>
      <c r="M24" s="121">
        <f>'RCA interest'!M14</f>
        <v>3.9929789999999996</v>
      </c>
      <c r="N24" s="121">
        <f>'RCA interest'!N14</f>
        <v>4.8987052499999999</v>
      </c>
      <c r="O24" s="121">
        <f>'RCA interest'!O14</f>
        <v>4.9792900000000007</v>
      </c>
      <c r="P24" s="121">
        <f>'RCA interest'!P14</f>
        <v>4.6010800000000005</v>
      </c>
      <c r="Q24" s="121">
        <f>'RCA interest'!Q14</f>
        <v>6.8999195000000002</v>
      </c>
      <c r="R24" s="121">
        <f>'RCA interest'!R14</f>
        <v>7.8596223749999989</v>
      </c>
      <c r="S24" s="121">
        <f>'RCA interest'!S14</f>
        <v>6.7335725000000011</v>
      </c>
      <c r="T24" s="121">
        <f>'RCA interest'!T14</f>
        <v>6.5199250000000006</v>
      </c>
      <c r="U24" s="121">
        <f>'RCA interest'!U14</f>
        <v>7.2052364999999998</v>
      </c>
      <c r="V24" s="344">
        <f>'RCA interest'!V14</f>
        <v>5.493497500000001</v>
      </c>
      <c r="W24" s="79">
        <f>'RCA interest'!W14</f>
        <v>4.9913298500000005</v>
      </c>
      <c r="X24" s="79">
        <f>'RCA interest'!X14</f>
        <v>5.0077344590000008</v>
      </c>
      <c r="Y24" s="79">
        <f>'RCA interest'!Y14</f>
        <v>5.0248108782990633</v>
      </c>
      <c r="Z24" s="240">
        <f>'RCA interest'!Z14</f>
        <v>5.0426104984185596</v>
      </c>
    </row>
    <row r="25" spans="1:26" s="3" customFormat="1" x14ac:dyDescent="0.2">
      <c r="A25" s="3" t="s">
        <v>222</v>
      </c>
      <c r="B25" s="3" t="s">
        <v>259</v>
      </c>
      <c r="C25" s="3">
        <f>'RCA data'!D14</f>
        <v>0</v>
      </c>
      <c r="D25" s="3">
        <f>'RCA data'!E14</f>
        <v>0</v>
      </c>
      <c r="E25" s="3">
        <f>'RCA data'!F14</f>
        <v>0</v>
      </c>
      <c r="F25" s="3">
        <f>'RCA data'!G14</f>
        <v>0</v>
      </c>
      <c r="G25" s="3">
        <f>'RCA data'!H14</f>
        <v>0</v>
      </c>
      <c r="H25" s="3">
        <f>'RCA data'!I14</f>
        <v>39</v>
      </c>
      <c r="I25" s="3">
        <f>'RCA data'!J14</f>
        <v>0</v>
      </c>
      <c r="J25" s="3">
        <f>'RCA data'!K14</f>
        <v>0</v>
      </c>
      <c r="K25" s="121">
        <f>'RCA data'!L14</f>
        <v>0</v>
      </c>
      <c r="L25" s="121">
        <f>'RCA data'!M14</f>
        <v>0</v>
      </c>
      <c r="M25" s="121">
        <f>'RCA data'!N14</f>
        <v>0</v>
      </c>
      <c r="N25" s="121">
        <f>'RCA data'!O14</f>
        <v>0</v>
      </c>
      <c r="O25" s="121">
        <f>'RCA data'!P14</f>
        <v>0</v>
      </c>
      <c r="P25" s="121">
        <f>'RCA data'!Q14</f>
        <v>0</v>
      </c>
      <c r="Q25" s="121">
        <f>'RCA data'!R14</f>
        <v>0</v>
      </c>
      <c r="R25" s="121">
        <f>'RCA data'!S14</f>
        <v>0</v>
      </c>
      <c r="S25" s="121">
        <f>'RCA data'!T14</f>
        <v>0</v>
      </c>
      <c r="T25" s="121">
        <f>'RCA data'!U14</f>
        <v>0</v>
      </c>
      <c r="U25" s="121">
        <f>'RCA data'!V14</f>
        <v>0</v>
      </c>
      <c r="V25" s="344">
        <f>'RCA data'!W14</f>
        <v>0</v>
      </c>
      <c r="W25" s="79">
        <f>'RCA data'!X14</f>
        <v>0</v>
      </c>
      <c r="X25" s="79">
        <f>'RCA data'!Y14</f>
        <v>0</v>
      </c>
      <c r="Y25" s="79">
        <f>'RCA data'!Z14</f>
        <v>0</v>
      </c>
      <c r="Z25" s="240">
        <f>'RCA data'!AA14</f>
        <v>0</v>
      </c>
    </row>
    <row r="26" spans="1:26" s="3" customFormat="1" x14ac:dyDescent="0.2">
      <c r="A26" s="3" t="s">
        <v>223</v>
      </c>
      <c r="B26" s="3" t="s">
        <v>265</v>
      </c>
      <c r="C26" s="6">
        <f>'RCA exp g(l)'!C46*-1</f>
        <v>0</v>
      </c>
      <c r="D26" s="6">
        <f>'RCA exp g(l)'!D46*-1</f>
        <v>0</v>
      </c>
      <c r="E26" s="6">
        <f>'RCA exp g(l)'!E46*-1</f>
        <v>0</v>
      </c>
      <c r="F26" s="6">
        <f>'RCA exp g(l)'!F46*-1</f>
        <v>0</v>
      </c>
      <c r="G26" s="6">
        <f>'RCA exp g(l)'!G46*-1</f>
        <v>0</v>
      </c>
      <c r="H26" s="6">
        <f>'RCA exp g(l)'!H46*-1</f>
        <v>-39</v>
      </c>
      <c r="I26" s="6">
        <f>'RCA exp g(l)'!I46*-1</f>
        <v>0</v>
      </c>
      <c r="J26" s="6">
        <f>'RCA exp g(l)'!J46*-1</f>
        <v>0</v>
      </c>
      <c r="K26" s="125">
        <f>'RCA exp g(l)'!K46*-1</f>
        <v>0</v>
      </c>
      <c r="L26" s="125">
        <f>'RCA exp g(l)'!L46*-1</f>
        <v>0</v>
      </c>
      <c r="M26" s="125">
        <f>'RCA exp g(l)'!M46*-1</f>
        <v>0</v>
      </c>
      <c r="N26" s="125">
        <f>'RCA exp g(l)'!N46*-1</f>
        <v>0</v>
      </c>
      <c r="O26" s="125">
        <f>'RCA exp g(l)'!O46*-1</f>
        <v>0</v>
      </c>
      <c r="P26" s="125">
        <f>'RCA exp g(l)'!P46*-1</f>
        <v>0</v>
      </c>
      <c r="Q26" s="125">
        <f>'RCA exp g(l)'!Q46*-1</f>
        <v>0</v>
      </c>
      <c r="R26" s="125">
        <f>'RCA exp g(l)'!R46*-1</f>
        <v>0</v>
      </c>
      <c r="S26" s="125">
        <f>'RCA exp g(l)'!S46*-1</f>
        <v>0</v>
      </c>
      <c r="T26" s="125">
        <f>'RCA exp g(l)'!T46*-1</f>
        <v>0</v>
      </c>
      <c r="U26" s="125">
        <f>'RCA exp g(l)'!U46*-1</f>
        <v>0</v>
      </c>
      <c r="V26" s="345">
        <f>'RCA exp g(l)'!V46*-1</f>
        <v>0</v>
      </c>
      <c r="W26" s="81">
        <f>'RCA exp g(l)'!W46*-1</f>
        <v>0</v>
      </c>
      <c r="X26" s="81">
        <f>'RCA exp g(l)'!X46*-1</f>
        <v>0</v>
      </c>
      <c r="Y26" s="81">
        <f>'RCA exp g(l)'!Y46*-1</f>
        <v>0</v>
      </c>
      <c r="Z26" s="241">
        <f>'RCA exp g(l)'!Z46*-1</f>
        <v>0</v>
      </c>
    </row>
    <row r="27" spans="1:26" s="8" customFormat="1" x14ac:dyDescent="0.2">
      <c r="A27" s="8" t="s">
        <v>243</v>
      </c>
      <c r="B27" s="8" t="s">
        <v>31</v>
      </c>
      <c r="C27" s="8">
        <f t="shared" ref="C27:J27" si="21">SUM(C21:C26)</f>
        <v>41.314374999999998</v>
      </c>
      <c r="D27" s="8">
        <f t="shared" si="21"/>
        <v>20.853124999999999</v>
      </c>
      <c r="E27" s="8">
        <f t="shared" si="21"/>
        <v>20.636249999999997</v>
      </c>
      <c r="F27" s="8">
        <f t="shared" si="21"/>
        <v>10.023750000000001</v>
      </c>
      <c r="G27" s="8">
        <f t="shared" si="21"/>
        <v>5.9499999999999993</v>
      </c>
      <c r="H27" s="8">
        <f t="shared" si="21"/>
        <v>25.641500000000008</v>
      </c>
      <c r="I27" s="8">
        <f t="shared" si="21"/>
        <v>32.850797499999999</v>
      </c>
      <c r="J27" s="8">
        <f t="shared" si="21"/>
        <v>-16.255210249999998</v>
      </c>
      <c r="K27" s="119">
        <f t="shared" ref="K27:X27" si="22">SUM(K21:K26)</f>
        <v>-24.270356874999997</v>
      </c>
      <c r="L27" s="119">
        <f t="shared" si="22"/>
        <v>-24.534182999999999</v>
      </c>
      <c r="M27" s="119">
        <f t="shared" si="22"/>
        <v>-29.935020999999999</v>
      </c>
      <c r="N27" s="119">
        <f t="shared" si="22"/>
        <v>-25.978554750000001</v>
      </c>
      <c r="O27" s="119">
        <f t="shared" si="22"/>
        <v>-23.463197999999998</v>
      </c>
      <c r="P27" s="119">
        <f t="shared" si="22"/>
        <v>-24.41592</v>
      </c>
      <c r="Q27" s="119">
        <f t="shared" si="22"/>
        <v>-7.7380804999999997</v>
      </c>
      <c r="R27" s="298">
        <f t="shared" si="22"/>
        <v>1.6146223749999997</v>
      </c>
      <c r="S27" s="119">
        <f t="shared" si="22"/>
        <v>0.28157249999999934</v>
      </c>
      <c r="T27" s="119">
        <f t="shared" si="22"/>
        <v>-2.516074999999999</v>
      </c>
      <c r="U27" s="119">
        <f t="shared" si="22"/>
        <v>-8.4757635000000011</v>
      </c>
      <c r="V27" s="342">
        <f t="shared" si="22"/>
        <v>-18.2245025</v>
      </c>
      <c r="W27" s="78">
        <f t="shared" si="22"/>
        <v>5.2803798500000001</v>
      </c>
      <c r="X27" s="78">
        <f t="shared" si="22"/>
        <v>3.3040107090000008</v>
      </c>
      <c r="Y27" s="78">
        <f t="shared" ref="Y27:Z27" si="23">SUM(Y21:Y26)</f>
        <v>4.3284940345490641</v>
      </c>
      <c r="Z27" s="242">
        <f t="shared" si="23"/>
        <v>6.353885733574808</v>
      </c>
    </row>
    <row r="28" spans="1:26" x14ac:dyDescent="0.2">
      <c r="A28" s="3"/>
      <c r="U28" s="519"/>
      <c r="V28" s="371"/>
      <c r="W28" s="213"/>
      <c r="X28" s="213"/>
      <c r="Y28" s="213"/>
      <c r="Z28" s="276"/>
    </row>
    <row r="30" spans="1:26" x14ac:dyDescent="0.2">
      <c r="P30" s="303" t="s">
        <v>410</v>
      </c>
    </row>
    <row r="31" spans="1:26" x14ac:dyDescent="0.2">
      <c r="P31" s="303"/>
    </row>
    <row r="32" spans="1:26" x14ac:dyDescent="0.2">
      <c r="P32" s="303" t="s">
        <v>411</v>
      </c>
    </row>
    <row r="33" spans="16:22" x14ac:dyDescent="0.2">
      <c r="P33" s="195" t="s">
        <v>415</v>
      </c>
      <c r="T33" s="115">
        <v>-5</v>
      </c>
      <c r="U33" s="115">
        <v>-3</v>
      </c>
      <c r="V33" s="337">
        <v>-3</v>
      </c>
    </row>
    <row r="34" spans="16:22" x14ac:dyDescent="0.2">
      <c r="P34" s="195"/>
      <c r="Q34" s="195" t="s">
        <v>416</v>
      </c>
    </row>
    <row r="35" spans="16:22" ht="15.75" thickBot="1" x14ac:dyDescent="0.3">
      <c r="R35" s="303" t="s">
        <v>412</v>
      </c>
      <c r="T35" s="372">
        <f>T15+T33</f>
        <v>-2.0145374999999994</v>
      </c>
      <c r="U35" s="372">
        <f>U15+U33</f>
        <v>-4.1293817500000003</v>
      </c>
      <c r="V35" s="372">
        <f>V15+V33</f>
        <v>-8.1412512499999998</v>
      </c>
    </row>
    <row r="36" spans="16:22" ht="13.5" thickTop="1" x14ac:dyDescent="0.2"/>
  </sheetData>
  <phoneticPr fontId="0" type="noConversion"/>
  <pageMargins left="0.74803149606299213" right="0.74803149606299213" top="0.98425196850393704" bottom="0.98425196850393704" header="0.51181102362204722" footer="0.51181102362204722"/>
  <pageSetup paperSize="5" orientation="landscape" cellComments="asDisplayed" r:id="rId1"/>
  <headerFooter alignWithMargins="0">
    <oddFooter>&amp;L&amp;"Arial,Bold"&amp;F&amp;C&amp;A&amp;R&amp;D  &amp;T</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pane xSplit="2" ySplit="4" topLeftCell="P5" activePane="bottomRight" state="frozen"/>
      <selection activeCell="A41" sqref="A41"/>
      <selection pane="topRight" activeCell="A41" sqref="A41"/>
      <selection pane="bottomLeft" activeCell="A41" sqref="A41"/>
      <selection pane="bottomRight" activeCell="R19" sqref="R19"/>
    </sheetView>
  </sheetViews>
  <sheetFormatPr baseColWidth="10" defaultColWidth="9.140625" defaultRowHeight="12.75" outlineLevelCol="1" x14ac:dyDescent="0.2"/>
  <cols>
    <col min="1" max="1" width="41.140625" customWidth="1"/>
    <col min="2" max="2" width="20.28515625" customWidth="1"/>
    <col min="3" max="8" width="11.5703125" hidden="1" customWidth="1" outlineLevel="1"/>
    <col min="9" max="9" width="11" hidden="1" customWidth="1" outlineLevel="1"/>
    <col min="10" max="10" width="11.85546875" hidden="1" customWidth="1" outlineLevel="1"/>
    <col min="11" max="11" width="11.5703125" hidden="1" customWidth="1" outlineLevel="1"/>
    <col min="12" max="12" width="11.5703125" style="115" hidden="1" customWidth="1" outlineLevel="1"/>
    <col min="13" max="13" width="11.7109375" style="115" hidden="1" customWidth="1" outlineLevel="1"/>
    <col min="14" max="14" width="12.140625" style="115" hidden="1" customWidth="1" outlineLevel="1"/>
    <col min="15" max="15" width="12.85546875" style="115" hidden="1" customWidth="1" outlineLevel="1"/>
    <col min="16" max="16" width="11.140625" style="115" bestFit="1" customWidth="1" collapsed="1"/>
    <col min="17" max="17" width="16.42578125" style="115" customWidth="1"/>
    <col min="18" max="19" width="11.140625" style="115" bestFit="1" customWidth="1"/>
    <col min="20" max="20" width="13.5703125" style="115" customWidth="1"/>
    <col min="21" max="22" width="12.28515625" style="115" bestFit="1" customWidth="1"/>
    <col min="23" max="23" width="12.140625" style="337" customWidth="1"/>
    <col min="24" max="26" width="9.140625" style="76" hidden="1" customWidth="1" outlineLevel="1"/>
    <col min="27" max="27" width="9.140625" style="238" hidden="1" customWidth="1" outlineLevel="1"/>
    <col min="28" max="28" width="9.140625" collapsed="1"/>
  </cols>
  <sheetData>
    <row r="1" spans="1:27" ht="15.75" x14ac:dyDescent="0.25">
      <c r="A1" s="18" t="s">
        <v>258</v>
      </c>
    </row>
    <row r="2" spans="1:27" x14ac:dyDescent="0.2">
      <c r="A2" s="2" t="s">
        <v>195</v>
      </c>
    </row>
    <row r="4" spans="1:27" s="2" customFormat="1" ht="13.5" thickBot="1" x14ac:dyDescent="0.25">
      <c r="A4" s="19" t="s">
        <v>156</v>
      </c>
      <c r="B4" s="20" t="s">
        <v>26</v>
      </c>
      <c r="C4" s="62" t="s">
        <v>38</v>
      </c>
      <c r="D4" s="62" t="s">
        <v>39</v>
      </c>
      <c r="E4" s="62" t="s">
        <v>40</v>
      </c>
      <c r="F4" s="62" t="s">
        <v>41</v>
      </c>
      <c r="G4" s="62" t="s">
        <v>295</v>
      </c>
      <c r="H4" s="62" t="s">
        <v>43</v>
      </c>
      <c r="I4" s="62" t="s">
        <v>44</v>
      </c>
      <c r="J4" s="62" t="s">
        <v>45</v>
      </c>
      <c r="K4" s="62" t="s">
        <v>168</v>
      </c>
      <c r="L4" s="150" t="s">
        <v>169</v>
      </c>
      <c r="M4" s="150" t="s">
        <v>170</v>
      </c>
      <c r="N4" s="150" t="s">
        <v>171</v>
      </c>
      <c r="O4" s="150" t="s">
        <v>172</v>
      </c>
      <c r="P4" s="150" t="s">
        <v>173</v>
      </c>
      <c r="Q4" s="150" t="s">
        <v>174</v>
      </c>
      <c r="R4" s="150" t="s">
        <v>175</v>
      </c>
      <c r="S4" s="150" t="s">
        <v>176</v>
      </c>
      <c r="T4" s="150" t="s">
        <v>177</v>
      </c>
      <c r="U4" s="150" t="s">
        <v>178</v>
      </c>
      <c r="V4" s="150" t="s">
        <v>294</v>
      </c>
      <c r="W4" s="369" t="s">
        <v>309</v>
      </c>
      <c r="X4" s="108" t="s">
        <v>315</v>
      </c>
      <c r="Y4" s="108" t="s">
        <v>316</v>
      </c>
      <c r="Z4" s="108" t="s">
        <v>317</v>
      </c>
      <c r="AA4" s="274" t="s">
        <v>318</v>
      </c>
    </row>
    <row r="6" spans="1:27" s="3" customFormat="1" x14ac:dyDescent="0.2">
      <c r="A6" s="12" t="s">
        <v>236</v>
      </c>
      <c r="L6" s="121"/>
      <c r="M6" s="121"/>
      <c r="N6" s="121"/>
      <c r="O6" s="121"/>
      <c r="P6" s="121"/>
      <c r="Q6" s="121"/>
      <c r="R6" s="121"/>
      <c r="S6" s="121"/>
      <c r="T6" s="121"/>
      <c r="U6" s="121"/>
      <c r="V6" s="121"/>
      <c r="W6" s="344"/>
      <c r="X6" s="79"/>
      <c r="Y6" s="79"/>
      <c r="Z6" s="79"/>
      <c r="AA6" s="240"/>
    </row>
    <row r="7" spans="1:27" s="3" customFormat="1" x14ac:dyDescent="0.2">
      <c r="L7" s="121"/>
      <c r="M7" s="121"/>
      <c r="N7" s="121"/>
      <c r="O7" s="121"/>
      <c r="P7" s="121"/>
      <c r="Q7" s="121"/>
      <c r="R7" s="121"/>
      <c r="S7" s="121"/>
      <c r="T7" s="121"/>
      <c r="U7" s="121"/>
      <c r="V7" s="121"/>
      <c r="W7" s="344"/>
      <c r="X7" s="79"/>
      <c r="Y7" s="79"/>
      <c r="Z7" s="79"/>
      <c r="AA7" s="240"/>
    </row>
    <row r="8" spans="1:27" s="3" customFormat="1" x14ac:dyDescent="0.2">
      <c r="A8" s="3" t="s">
        <v>197</v>
      </c>
      <c r="B8" s="3" t="s">
        <v>238</v>
      </c>
      <c r="C8" s="3">
        <f t="shared" ref="C8:I8" si="0">C24/2</f>
        <v>190</v>
      </c>
      <c r="D8" s="3">
        <f t="shared" si="0"/>
        <v>173.5</v>
      </c>
      <c r="E8" s="3">
        <f t="shared" si="0"/>
        <v>136.5</v>
      </c>
      <c r="F8" s="3">
        <f t="shared" si="0"/>
        <v>143</v>
      </c>
      <c r="G8" s="3">
        <f t="shared" si="0"/>
        <v>119.5</v>
      </c>
      <c r="H8" s="3">
        <f t="shared" si="0"/>
        <v>153</v>
      </c>
      <c r="I8" s="3">
        <f t="shared" si="0"/>
        <v>180.5</v>
      </c>
      <c r="J8" s="3">
        <f t="shared" ref="J8:P9" si="1">J24/2</f>
        <v>237.5</v>
      </c>
      <c r="K8" s="3">
        <f t="shared" si="1"/>
        <v>79</v>
      </c>
      <c r="L8" s="121">
        <f t="shared" si="1"/>
        <v>94.5</v>
      </c>
      <c r="M8" s="121">
        <f t="shared" si="1"/>
        <v>84</v>
      </c>
      <c r="N8" s="121">
        <f t="shared" si="1"/>
        <v>104</v>
      </c>
      <c r="O8" s="121">
        <f t="shared" si="1"/>
        <v>122.5</v>
      </c>
      <c r="P8" s="121">
        <f t="shared" si="1"/>
        <v>113.5</v>
      </c>
      <c r="Q8" s="226">
        <f t="shared" ref="Q8:S9" si="2">Q24/2</f>
        <v>148</v>
      </c>
      <c r="R8" s="121">
        <f t="shared" si="2"/>
        <v>192</v>
      </c>
      <c r="S8" s="121">
        <f t="shared" si="2"/>
        <v>196</v>
      </c>
      <c r="T8" s="121">
        <f t="shared" ref="T8:V9" si="3">T24/2</f>
        <v>190</v>
      </c>
      <c r="U8" s="121">
        <f t="shared" si="3"/>
        <v>172</v>
      </c>
      <c r="V8" s="121">
        <f t="shared" si="3"/>
        <v>165</v>
      </c>
      <c r="W8" s="344">
        <f t="shared" ref="W8:Y9" si="4">W24/2</f>
        <v>154.5</v>
      </c>
      <c r="X8" s="79">
        <f t="shared" si="4"/>
        <v>155</v>
      </c>
      <c r="Y8" s="79">
        <f t="shared" si="4"/>
        <v>155.5</v>
      </c>
      <c r="Z8" s="79">
        <f t="shared" ref="Z8:AA8" si="5">Z24/2</f>
        <v>156</v>
      </c>
      <c r="AA8" s="240">
        <f t="shared" si="5"/>
        <v>156.5</v>
      </c>
    </row>
    <row r="9" spans="1:27" s="3" customFormat="1" x14ac:dyDescent="0.2">
      <c r="A9" s="3" t="s">
        <v>198</v>
      </c>
      <c r="B9" s="3" t="s">
        <v>238</v>
      </c>
      <c r="C9" s="3">
        <f t="shared" ref="C9:I9" si="6">C25/2</f>
        <v>0</v>
      </c>
      <c r="D9" s="3">
        <f t="shared" si="6"/>
        <v>-0.5</v>
      </c>
      <c r="E9" s="3">
        <f t="shared" si="6"/>
        <v>-0.5</v>
      </c>
      <c r="F9" s="3">
        <f t="shared" si="6"/>
        <v>-0.5</v>
      </c>
      <c r="G9" s="3">
        <f t="shared" si="6"/>
        <v>-0.5</v>
      </c>
      <c r="H9" s="3">
        <f t="shared" si="6"/>
        <v>-1</v>
      </c>
      <c r="I9" s="3">
        <f t="shared" si="6"/>
        <v>-1</v>
      </c>
      <c r="J9" s="3">
        <f t="shared" si="1"/>
        <v>-1.0745</v>
      </c>
      <c r="K9" s="3">
        <f t="shared" si="1"/>
        <v>-2.6114999999999999</v>
      </c>
      <c r="L9" s="121">
        <f t="shared" si="1"/>
        <v>-3.964</v>
      </c>
      <c r="M9" s="121">
        <f t="shared" si="1"/>
        <v>-4.7930000000000001</v>
      </c>
      <c r="N9" s="121">
        <f t="shared" si="1"/>
        <v>-5.2430000000000003</v>
      </c>
      <c r="O9" s="121">
        <f t="shared" si="1"/>
        <v>-5.2885</v>
      </c>
      <c r="P9" s="121">
        <f t="shared" si="1"/>
        <v>-6.86</v>
      </c>
      <c r="Q9" s="226">
        <f t="shared" si="2"/>
        <v>-6.8624999999999998</v>
      </c>
      <c r="R9" s="121">
        <f t="shared" si="2"/>
        <v>-7.6844999999999999</v>
      </c>
      <c r="S9" s="121">
        <f t="shared" si="2"/>
        <v>-7.7785000000000002</v>
      </c>
      <c r="T9" s="121">
        <f t="shared" si="3"/>
        <v>-8.5839999999999996</v>
      </c>
      <c r="U9" s="121">
        <f t="shared" si="3"/>
        <v>-12.182499999999999</v>
      </c>
      <c r="V9" s="121">
        <f t="shared" si="3"/>
        <v>-13.051</v>
      </c>
      <c r="W9" s="344">
        <f t="shared" si="4"/>
        <v>-12.563000000000001</v>
      </c>
      <c r="X9" s="79">
        <f t="shared" si="4"/>
        <v>-12.305246250000003</v>
      </c>
      <c r="Y9" s="79">
        <f t="shared" si="4"/>
        <v>-12.094036839062507</v>
      </c>
      <c r="Z9" s="79">
        <f t="shared" ref="Z9:AA9" si="7">Z25/2</f>
        <v>-11.932330639634774</v>
      </c>
      <c r="AA9" s="240">
        <f t="shared" si="7"/>
        <v>-11.823203682104779</v>
      </c>
    </row>
    <row r="10" spans="1:27" s="3" customFormat="1" x14ac:dyDescent="0.2">
      <c r="A10" s="3" t="s">
        <v>196</v>
      </c>
      <c r="B10" s="3" t="s">
        <v>238</v>
      </c>
      <c r="C10" s="3">
        <f t="shared" ref="C10:I10" si="8">C27/2</f>
        <v>0</v>
      </c>
      <c r="D10" s="3">
        <f t="shared" si="8"/>
        <v>37.157187499999992</v>
      </c>
      <c r="E10" s="3">
        <f t="shared" si="8"/>
        <v>84.583749999999981</v>
      </c>
      <c r="F10" s="3">
        <f t="shared" si="8"/>
        <v>88.40187499999999</v>
      </c>
      <c r="G10" s="3">
        <f t="shared" si="8"/>
        <v>116.91374999999999</v>
      </c>
      <c r="H10" s="68">
        <f>(H27/2)</f>
        <v>87.5</v>
      </c>
      <c r="I10" s="3">
        <f t="shared" si="8"/>
        <v>73.15949999999998</v>
      </c>
      <c r="J10" s="190">
        <f t="shared" ref="J10:P10" si="9">J27/2+0.61439875</f>
        <v>33.114398749999999</v>
      </c>
      <c r="K10" s="68">
        <f t="shared" si="9"/>
        <v>184.11439874999999</v>
      </c>
      <c r="L10" s="153">
        <f t="shared" si="9"/>
        <v>157.11439874999999</v>
      </c>
      <c r="M10" s="153">
        <f t="shared" si="9"/>
        <v>155.61439874999999</v>
      </c>
      <c r="N10" s="153">
        <f t="shared" si="9"/>
        <v>120.61439875000001</v>
      </c>
      <c r="O10" s="153">
        <f t="shared" si="9"/>
        <v>88.114398750000007</v>
      </c>
      <c r="P10" s="153">
        <f t="shared" si="9"/>
        <v>85.614398750000007</v>
      </c>
      <c r="Q10" s="226">
        <f t="shared" ref="Q10:V10" si="10">Q27/2+0.61439875</f>
        <v>38.614398749999999</v>
      </c>
      <c r="R10" s="153">
        <f t="shared" si="10"/>
        <v>-8.8856012500000006</v>
      </c>
      <c r="S10" s="153">
        <f>S27/2+0.61439875</f>
        <v>-12.385601250000001</v>
      </c>
      <c r="T10" s="121">
        <f t="shared" si="10"/>
        <v>-6.8856012499999997</v>
      </c>
      <c r="U10" s="121">
        <f t="shared" si="10"/>
        <v>10.614398749999999</v>
      </c>
      <c r="V10" s="153">
        <f t="shared" si="10"/>
        <v>12.114398749999999</v>
      </c>
      <c r="W10" s="377">
        <f>W27/2+0.61439875</f>
        <v>11.114398749999999</v>
      </c>
      <c r="X10" s="110">
        <f>X27/2+0.61439875</f>
        <v>11.114398749999999</v>
      </c>
      <c r="Y10" s="110">
        <f>Y27/2+0.61439875</f>
        <v>10.114398749999999</v>
      </c>
      <c r="Z10" s="110">
        <f>Z27/2+0.61439875</f>
        <v>9.6143987499999994</v>
      </c>
      <c r="AA10" s="281">
        <f>AA27/2+0.61439875</f>
        <v>10.114398749999999</v>
      </c>
    </row>
    <row r="11" spans="1:27" s="49" customFormat="1" ht="15.75" x14ac:dyDescent="0.25">
      <c r="A11" s="52" t="s">
        <v>205</v>
      </c>
      <c r="B11" s="9" t="s">
        <v>241</v>
      </c>
      <c r="C11" s="56">
        <f t="shared" ref="C11:I11" si="11">SUM(C8:C10)</f>
        <v>190</v>
      </c>
      <c r="D11" s="56">
        <f t="shared" si="11"/>
        <v>210.15718749999999</v>
      </c>
      <c r="E11" s="56">
        <f t="shared" si="11"/>
        <v>220.58374999999998</v>
      </c>
      <c r="F11" s="56">
        <f t="shared" si="11"/>
        <v>230.90187499999999</v>
      </c>
      <c r="G11" s="56">
        <f t="shared" si="11"/>
        <v>235.91374999999999</v>
      </c>
      <c r="H11" s="56">
        <f t="shared" si="11"/>
        <v>239.5</v>
      </c>
      <c r="I11" s="56">
        <f t="shared" si="11"/>
        <v>252.65949999999998</v>
      </c>
      <c r="J11" s="56">
        <f t="shared" ref="J11:Y11" si="12">SUM(J8:J10)</f>
        <v>269.53989875000002</v>
      </c>
      <c r="K11" s="56">
        <f t="shared" si="12"/>
        <v>260.50289874999999</v>
      </c>
      <c r="L11" s="145">
        <f t="shared" si="12"/>
        <v>247.65039874999999</v>
      </c>
      <c r="M11" s="145">
        <f t="shared" si="12"/>
        <v>234.82139874999999</v>
      </c>
      <c r="N11" s="145">
        <f t="shared" si="12"/>
        <v>219.37139875000003</v>
      </c>
      <c r="O11" s="145">
        <f t="shared" si="12"/>
        <v>205.32589875000002</v>
      </c>
      <c r="P11" s="145">
        <f t="shared" si="12"/>
        <v>192.25439875000001</v>
      </c>
      <c r="Q11" s="229">
        <f t="shared" si="12"/>
        <v>179.75189874999998</v>
      </c>
      <c r="R11" s="145">
        <f t="shared" si="12"/>
        <v>175.42989874999998</v>
      </c>
      <c r="S11" s="145">
        <f t="shared" si="12"/>
        <v>175.83589874999998</v>
      </c>
      <c r="T11" s="145">
        <f t="shared" si="12"/>
        <v>174.53039874999999</v>
      </c>
      <c r="U11" s="145">
        <f t="shared" si="12"/>
        <v>170.43189874999999</v>
      </c>
      <c r="V11" s="145">
        <f t="shared" si="12"/>
        <v>164.06339875</v>
      </c>
      <c r="W11" s="374">
        <f t="shared" si="12"/>
        <v>153.05139875</v>
      </c>
      <c r="X11" s="102">
        <f t="shared" si="12"/>
        <v>153.80915249999998</v>
      </c>
      <c r="Y11" s="102">
        <f t="shared" si="12"/>
        <v>153.52036191093748</v>
      </c>
      <c r="Z11" s="102">
        <f t="shared" ref="Z11:AA11" si="13">SUM(Z8:Z10)</f>
        <v>153.68206811036521</v>
      </c>
      <c r="AA11" s="278">
        <f t="shared" si="13"/>
        <v>154.79119506789522</v>
      </c>
    </row>
    <row r="12" spans="1:27" s="49" customFormat="1" ht="15.75" x14ac:dyDescent="0.25">
      <c r="A12" s="52"/>
      <c r="B12" s="9"/>
      <c r="C12" s="71"/>
      <c r="D12" s="71"/>
      <c r="E12" s="71"/>
      <c r="F12" s="71"/>
      <c r="G12" s="71"/>
      <c r="H12" s="71"/>
      <c r="I12" s="71"/>
      <c r="J12" s="71"/>
      <c r="K12" s="71"/>
      <c r="L12" s="154"/>
      <c r="M12" s="154"/>
      <c r="N12" s="154"/>
      <c r="O12" s="154"/>
      <c r="P12" s="154"/>
      <c r="Q12" s="154"/>
      <c r="R12" s="154"/>
      <c r="S12" s="154"/>
      <c r="T12" s="154"/>
      <c r="U12" s="154"/>
      <c r="V12" s="154"/>
      <c r="W12" s="378"/>
      <c r="X12" s="111"/>
      <c r="Y12" s="111"/>
      <c r="Z12" s="111"/>
      <c r="AA12" s="282"/>
    </row>
    <row r="13" spans="1:27" s="9" customFormat="1" x14ac:dyDescent="0.2">
      <c r="I13" s="9" t="s">
        <v>307</v>
      </c>
      <c r="J13" s="72">
        <f t="shared" ref="J13:R13" si="14">J18*1000000</f>
        <v>269539898.74999994</v>
      </c>
      <c r="K13" s="72">
        <f t="shared" si="14"/>
        <v>260894293.62500006</v>
      </c>
      <c r="L13" s="72">
        <f t="shared" si="14"/>
        <v>248118761.5325</v>
      </c>
      <c r="M13" s="72">
        <f t="shared" si="14"/>
        <v>235893307.25</v>
      </c>
      <c r="N13" s="72">
        <f t="shared" si="14"/>
        <v>219066111.33999997</v>
      </c>
      <c r="O13" s="170">
        <f t="shared" si="14"/>
        <v>206721209.37500003</v>
      </c>
      <c r="P13" s="170">
        <f t="shared" si="14"/>
        <v>193161611.75000003</v>
      </c>
      <c r="Q13" s="170">
        <f t="shared" si="14"/>
        <v>179984133.09000003</v>
      </c>
      <c r="R13" s="170">
        <f t="shared" si="14"/>
        <v>176472308.5</v>
      </c>
      <c r="S13" s="170">
        <f>S11*1000000</f>
        <v>175835898.74999997</v>
      </c>
      <c r="T13" s="170">
        <f>T11*1000000</f>
        <v>174530398.75</v>
      </c>
      <c r="U13" s="156">
        <f>U11*1000000</f>
        <v>170431898.75</v>
      </c>
      <c r="V13" s="156">
        <f>V11*1000000</f>
        <v>164063398.75</v>
      </c>
      <c r="W13" s="156">
        <f>W11*1000000</f>
        <v>153051398.75</v>
      </c>
      <c r="X13" s="112"/>
      <c r="Y13" s="112"/>
      <c r="Z13" s="112"/>
      <c r="AA13" s="283"/>
    </row>
    <row r="14" spans="1:27" s="9" customFormat="1" x14ac:dyDescent="0.2">
      <c r="A14" s="12" t="s">
        <v>255</v>
      </c>
      <c r="L14" s="146"/>
      <c r="M14" s="146"/>
      <c r="N14" s="146"/>
      <c r="O14" s="146"/>
      <c r="P14" s="146"/>
      <c r="Q14" s="146"/>
      <c r="R14" s="146"/>
      <c r="S14" s="146"/>
      <c r="T14" s="146"/>
      <c r="U14" s="146"/>
      <c r="V14" s="146"/>
      <c r="W14" s="343"/>
      <c r="X14" s="103"/>
      <c r="Y14" s="103"/>
      <c r="Z14" s="103"/>
      <c r="AA14" s="266"/>
    </row>
    <row r="15" spans="1:27" s="9" customFormat="1" x14ac:dyDescent="0.2">
      <c r="A15" s="9" t="s">
        <v>252</v>
      </c>
      <c r="B15" s="9" t="s">
        <v>66</v>
      </c>
      <c r="D15" s="9">
        <f t="shared" ref="D15:K15" si="15">+C11</f>
        <v>190</v>
      </c>
      <c r="E15" s="9">
        <f t="shared" si="15"/>
        <v>210.15718749999999</v>
      </c>
      <c r="F15" s="9">
        <f t="shared" si="15"/>
        <v>220.58374999999998</v>
      </c>
      <c r="G15" s="9">
        <f t="shared" si="15"/>
        <v>230.90187499999999</v>
      </c>
      <c r="H15" s="9">
        <f t="shared" si="15"/>
        <v>235.91374999999999</v>
      </c>
      <c r="I15" s="9">
        <f t="shared" si="15"/>
        <v>239.5</v>
      </c>
      <c r="J15" s="9">
        <f t="shared" si="15"/>
        <v>252.65949999999998</v>
      </c>
      <c r="K15" s="9">
        <f t="shared" si="15"/>
        <v>269.53989875000002</v>
      </c>
      <c r="L15" s="146">
        <f t="shared" ref="L15:AA15" si="16">+K11</f>
        <v>260.50289874999999</v>
      </c>
      <c r="M15" s="146">
        <f t="shared" si="16"/>
        <v>247.65039874999999</v>
      </c>
      <c r="N15" s="146">
        <f t="shared" si="16"/>
        <v>234.82139874999999</v>
      </c>
      <c r="O15" s="146">
        <f t="shared" si="16"/>
        <v>219.37139875000003</v>
      </c>
      <c r="P15" s="146">
        <f t="shared" si="16"/>
        <v>205.32589875000002</v>
      </c>
      <c r="Q15" s="146">
        <f t="shared" si="16"/>
        <v>192.25439875000001</v>
      </c>
      <c r="R15" s="146">
        <f t="shared" si="16"/>
        <v>179.75189874999998</v>
      </c>
      <c r="S15" s="146">
        <f t="shared" si="16"/>
        <v>175.42989874999998</v>
      </c>
      <c r="T15" s="332">
        <f>+S11</f>
        <v>175.83589874999998</v>
      </c>
      <c r="U15" s="332">
        <f>+T11</f>
        <v>174.53039874999999</v>
      </c>
      <c r="V15" s="146">
        <f t="shared" si="16"/>
        <v>170.43189874999999</v>
      </c>
      <c r="W15" s="343">
        <f t="shared" si="16"/>
        <v>164.06339875</v>
      </c>
      <c r="X15" s="103">
        <f t="shared" si="16"/>
        <v>153.05139875</v>
      </c>
      <c r="Y15" s="103">
        <f t="shared" si="16"/>
        <v>153.80915249999998</v>
      </c>
      <c r="Z15" s="103">
        <f t="shared" si="16"/>
        <v>153.52036191093748</v>
      </c>
      <c r="AA15" s="266">
        <f t="shared" si="16"/>
        <v>153.68206811036521</v>
      </c>
    </row>
    <row r="16" spans="1:27" s="9" customFormat="1" x14ac:dyDescent="0.2">
      <c r="A16" s="9" t="s">
        <v>327</v>
      </c>
      <c r="B16" s="9" t="s">
        <v>328</v>
      </c>
      <c r="K16" s="9">
        <f>'RCA data'!K$34*-1</f>
        <v>-2</v>
      </c>
      <c r="L16" s="9">
        <f>'RCA data'!L$34*-1</f>
        <v>-1.7209587799999999</v>
      </c>
      <c r="M16" s="9">
        <f>'RCA data'!M$34*-1</f>
        <v>-1.2749999999999999</v>
      </c>
      <c r="N16" s="146">
        <f>'RCA data'!N$34*-1</f>
        <v>-1.9167769100000001</v>
      </c>
      <c r="O16" s="146">
        <f>'RCA data'!O$34*-1</f>
        <v>-0.75204199999999999</v>
      </c>
      <c r="P16" s="146">
        <f>'RCA data'!P$34*-1</f>
        <v>-2.5734319999999999</v>
      </c>
      <c r="Q16" s="146">
        <f>'RCA data'!Q$34*-1</f>
        <v>-1.5433056599999999</v>
      </c>
      <c r="R16" s="146">
        <f>'RCA data'!R$34*-1</f>
        <v>-2.1390500000000001</v>
      </c>
      <c r="S16" s="146">
        <f>'RCA data'!S$34*-1</f>
        <v>-2.3824589999999999</v>
      </c>
      <c r="T16" s="332">
        <f>'RCA data'!T$34*-1</f>
        <v>-2.4652271099999998</v>
      </c>
      <c r="U16" s="332">
        <f>'RCA data'!U$34*-1</f>
        <v>-5.4058700000000002</v>
      </c>
      <c r="V16" s="146">
        <f>'RCA data'!V$34*-1</f>
        <v>-5.1298110000000001</v>
      </c>
      <c r="W16" s="343">
        <f>'RCA data'!W$34*-1</f>
        <v>-2.6689590000000001</v>
      </c>
      <c r="X16" s="103">
        <f>'RCA data'!X$34*-1</f>
        <v>-2.735682975</v>
      </c>
      <c r="Y16" s="103">
        <f>'RCA data'!Y$34*-1</f>
        <v>-2.8040750493749997</v>
      </c>
      <c r="Z16" s="103">
        <f>'RCA data'!Z$34*-1</f>
        <v>-2.8741769256093743</v>
      </c>
      <c r="AA16" s="266">
        <f>'RCA data'!AA$34*-1</f>
        <v>-2.9460313487496084</v>
      </c>
    </row>
    <row r="17" spans="1:27" s="9" customFormat="1" x14ac:dyDescent="0.2">
      <c r="A17" s="9" t="s">
        <v>305</v>
      </c>
      <c r="B17" s="9" t="s">
        <v>277</v>
      </c>
      <c r="D17" s="9">
        <f>'RCA exp'!C15</f>
        <v>20.657187499999999</v>
      </c>
      <c r="E17" s="9">
        <f>'RCA exp'!D15</f>
        <v>10.426562499999999</v>
      </c>
      <c r="F17" s="9">
        <f>'RCA exp'!E15</f>
        <v>10.318124999999998</v>
      </c>
      <c r="G17" s="9">
        <f>'RCA exp'!F15</f>
        <v>5.0118750000000007</v>
      </c>
      <c r="H17" s="9">
        <f>'RCA exp'!G15</f>
        <v>3.375</v>
      </c>
      <c r="I17" s="9">
        <f>'RCA exp'!H15</f>
        <v>13.370750000000001</v>
      </c>
      <c r="J17" s="9">
        <f>'RCA exp'!I15</f>
        <v>16.880398750000001</v>
      </c>
      <c r="K17" s="9">
        <f>'RCA exp'!J15</f>
        <v>-6.6456051249999994</v>
      </c>
      <c r="L17" s="146">
        <f>'RCA exp'!K15</f>
        <v>-10.663178437500001</v>
      </c>
      <c r="M17" s="146">
        <f>'RCA exp'!L15</f>
        <v>-10.482091499999999</v>
      </c>
      <c r="N17" s="146">
        <f>'RCA exp'!M15</f>
        <v>-13.838510500000002</v>
      </c>
      <c r="O17" s="146">
        <f>'RCA exp'!N15</f>
        <v>-11.898147375000001</v>
      </c>
      <c r="P17" s="146">
        <f>'RCA exp'!O15</f>
        <v>-9.5908550000000012</v>
      </c>
      <c r="Q17" s="146">
        <f>'RCA exp'!P15</f>
        <v>-10.72696</v>
      </c>
      <c r="R17" s="146">
        <f>'RCA exp'!Q15</f>
        <v>-1.1405402499999995</v>
      </c>
      <c r="S17" s="146">
        <f>'RCA exp'!R15</f>
        <v>3.4358111874999997</v>
      </c>
      <c r="T17" s="332">
        <f>'RCA exp'!S15</f>
        <v>2.6542862500000002</v>
      </c>
      <c r="U17" s="332">
        <f>'RCA exp'!T15</f>
        <v>2.9854625000000006</v>
      </c>
      <c r="V17" s="146">
        <f>'RCA exp'!U15</f>
        <v>-1.1293817500000003</v>
      </c>
      <c r="W17" s="343">
        <f>'RCA exp'!V15</f>
        <v>-5.1412512499999998</v>
      </c>
      <c r="X17" s="103">
        <f>'RCA exp'!W15</f>
        <v>6.7104649250000001</v>
      </c>
      <c r="Y17" s="103">
        <f>'RCA exp'!X15</f>
        <v>5.8240372295</v>
      </c>
      <c r="Z17" s="103">
        <f>'RCA exp'!Y15</f>
        <v>6.4405796891495299</v>
      </c>
      <c r="AA17" s="266">
        <f>'RCA exp'!Z15</f>
        <v>7.560183855459278</v>
      </c>
    </row>
    <row r="18" spans="1:27" s="8" customFormat="1" x14ac:dyDescent="0.2">
      <c r="A18" s="8" t="s">
        <v>253</v>
      </c>
      <c r="B18" s="8" t="s">
        <v>31</v>
      </c>
      <c r="C18" s="21"/>
      <c r="D18" s="21">
        <f t="shared" ref="D18:AA18" si="17">SUM(D15:D17)</f>
        <v>210.65718749999999</v>
      </c>
      <c r="E18" s="21">
        <f t="shared" si="17"/>
        <v>220.58374999999998</v>
      </c>
      <c r="F18" s="21">
        <f t="shared" si="17"/>
        <v>230.90187499999999</v>
      </c>
      <c r="G18" s="21">
        <f t="shared" si="17"/>
        <v>235.91374999999999</v>
      </c>
      <c r="H18" s="21">
        <f t="shared" si="17"/>
        <v>239.28874999999999</v>
      </c>
      <c r="I18" s="21">
        <f t="shared" si="17"/>
        <v>252.87074999999999</v>
      </c>
      <c r="J18" s="21">
        <f t="shared" si="17"/>
        <v>269.53989874999996</v>
      </c>
      <c r="K18" s="21">
        <f t="shared" si="17"/>
        <v>260.89429362500005</v>
      </c>
      <c r="L18" s="140">
        <f t="shared" si="17"/>
        <v>248.1187615325</v>
      </c>
      <c r="M18" s="140">
        <f t="shared" si="17"/>
        <v>235.89330724999999</v>
      </c>
      <c r="N18" s="140">
        <f t="shared" si="17"/>
        <v>219.06611133999996</v>
      </c>
      <c r="O18" s="140">
        <f t="shared" si="17"/>
        <v>206.72120937500003</v>
      </c>
      <c r="P18" s="140">
        <f t="shared" si="17"/>
        <v>193.16161175000002</v>
      </c>
      <c r="Q18" s="140">
        <f t="shared" si="17"/>
        <v>179.98413309000003</v>
      </c>
      <c r="R18" s="140">
        <f t="shared" si="17"/>
        <v>176.4723085</v>
      </c>
      <c r="S18" s="140">
        <f t="shared" si="17"/>
        <v>176.48325093749997</v>
      </c>
      <c r="T18" s="333">
        <f t="shared" si="17"/>
        <v>176.02495789</v>
      </c>
      <c r="U18" s="333">
        <f t="shared" si="17"/>
        <v>172.10999125000001</v>
      </c>
      <c r="V18" s="140">
        <f t="shared" si="17"/>
        <v>164.17270600000001</v>
      </c>
      <c r="W18" s="360">
        <f t="shared" si="17"/>
        <v>156.25318849999999</v>
      </c>
      <c r="X18" s="95">
        <f t="shared" si="17"/>
        <v>157.0261807</v>
      </c>
      <c r="Y18" s="95">
        <f t="shared" si="17"/>
        <v>156.82911468012497</v>
      </c>
      <c r="Z18" s="95">
        <f t="shared" si="17"/>
        <v>157.08676467447765</v>
      </c>
      <c r="AA18" s="261">
        <f t="shared" si="17"/>
        <v>158.29622061707488</v>
      </c>
    </row>
    <row r="19" spans="1:27" s="9" customFormat="1" x14ac:dyDescent="0.2">
      <c r="A19" s="9" t="s">
        <v>217</v>
      </c>
      <c r="D19" s="9">
        <f t="shared" ref="D19:AA19" si="18">D18-D11</f>
        <v>0.5</v>
      </c>
      <c r="E19" s="9">
        <f t="shared" si="18"/>
        <v>0</v>
      </c>
      <c r="F19" s="9">
        <f t="shared" si="18"/>
        <v>0</v>
      </c>
      <c r="G19" s="9">
        <f t="shared" si="18"/>
        <v>0</v>
      </c>
      <c r="H19" s="9">
        <f t="shared" si="18"/>
        <v>-0.21125000000000682</v>
      </c>
      <c r="I19" s="9">
        <f t="shared" si="18"/>
        <v>0.21125000000000682</v>
      </c>
      <c r="J19" s="9">
        <f t="shared" si="18"/>
        <v>0</v>
      </c>
      <c r="K19" s="9">
        <f t="shared" si="18"/>
        <v>0.39139487500005998</v>
      </c>
      <c r="L19" s="146">
        <f t="shared" si="18"/>
        <v>0.46836278250000873</v>
      </c>
      <c r="M19" s="146">
        <f t="shared" si="18"/>
        <v>1.0719085000000064</v>
      </c>
      <c r="N19" s="146">
        <f t="shared" si="18"/>
        <v>-0.30528741000006221</v>
      </c>
      <c r="O19" s="146">
        <f t="shared" si="18"/>
        <v>1.3953106250000076</v>
      </c>
      <c r="P19" s="146">
        <f t="shared" si="18"/>
        <v>0.90721300000001293</v>
      </c>
      <c r="Q19" s="146">
        <f t="shared" si="18"/>
        <v>0.23223434000004772</v>
      </c>
      <c r="R19" s="332">
        <f t="shared" si="18"/>
        <v>1.0424097500000187</v>
      </c>
      <c r="S19" s="332">
        <f t="shared" si="18"/>
        <v>0.64735218749999035</v>
      </c>
      <c r="T19" s="332">
        <f t="shared" si="18"/>
        <v>1.4945591400000069</v>
      </c>
      <c r="U19" s="332">
        <f t="shared" si="18"/>
        <v>1.6780925000000195</v>
      </c>
      <c r="V19" s="146">
        <f t="shared" si="18"/>
        <v>0.10930725000000052</v>
      </c>
      <c r="W19" s="343">
        <f t="shared" si="18"/>
        <v>3.201789749999989</v>
      </c>
      <c r="X19" s="103">
        <f t="shared" si="18"/>
        <v>3.2170282000000157</v>
      </c>
      <c r="Y19" s="103">
        <f t="shared" si="18"/>
        <v>3.3087527691874925</v>
      </c>
      <c r="Z19" s="103">
        <f t="shared" si="18"/>
        <v>3.4046965641124416</v>
      </c>
      <c r="AA19" s="266">
        <f t="shared" si="18"/>
        <v>3.5050255491796634</v>
      </c>
    </row>
    <row r="20" spans="1:27" s="9" customFormat="1" x14ac:dyDescent="0.2">
      <c r="L20" s="146"/>
      <c r="M20" s="146"/>
      <c r="N20" s="146"/>
      <c r="O20" s="146"/>
      <c r="P20" s="146"/>
      <c r="Q20" s="146"/>
      <c r="R20" s="146"/>
      <c r="S20" s="146"/>
      <c r="T20" s="146"/>
      <c r="U20" s="146"/>
      <c r="V20" s="146"/>
      <c r="W20" s="343"/>
      <c r="X20" s="103"/>
      <c r="Y20" s="103"/>
      <c r="Z20" s="103"/>
      <c r="AA20" s="266"/>
    </row>
    <row r="21" spans="1:27" s="9" customFormat="1" x14ac:dyDescent="0.2">
      <c r="L21" s="146"/>
      <c r="M21" s="146"/>
      <c r="N21" s="146"/>
      <c r="O21" s="146"/>
      <c r="P21" s="146"/>
      <c r="Q21" s="146"/>
      <c r="R21" s="146"/>
      <c r="S21" s="146"/>
      <c r="T21" s="146"/>
      <c r="U21" s="146"/>
      <c r="V21" s="146"/>
      <c r="W21" s="343"/>
      <c r="X21" s="103"/>
      <c r="Y21" s="103"/>
      <c r="Z21" s="103"/>
      <c r="AA21" s="266"/>
    </row>
    <row r="22" spans="1:27" s="3" customFormat="1" x14ac:dyDescent="0.2">
      <c r="A22" s="44" t="s">
        <v>194</v>
      </c>
      <c r="L22" s="121"/>
      <c r="M22" s="121"/>
      <c r="N22" s="121"/>
      <c r="O22" s="121"/>
      <c r="P22" s="121"/>
      <c r="Q22" s="121"/>
      <c r="R22" s="121"/>
      <c r="S22" s="121"/>
      <c r="T22" s="121"/>
      <c r="U22" s="121"/>
      <c r="V22" s="121"/>
      <c r="W22" s="344"/>
      <c r="X22" s="79"/>
      <c r="Y22" s="79"/>
      <c r="Z22" s="79"/>
      <c r="AA22" s="240"/>
    </row>
    <row r="23" spans="1:27" s="3" customFormat="1" x14ac:dyDescent="0.2">
      <c r="L23" s="121"/>
      <c r="M23" s="121"/>
      <c r="N23" s="121"/>
      <c r="O23" s="121"/>
      <c r="P23" s="121"/>
      <c r="Q23" s="121"/>
      <c r="R23" s="121"/>
      <c r="S23" s="121"/>
      <c r="T23" s="121"/>
      <c r="U23" s="121"/>
      <c r="V23" s="121"/>
      <c r="W23" s="344"/>
      <c r="X23" s="79"/>
      <c r="Y23" s="79"/>
      <c r="Z23" s="79"/>
      <c r="AA23" s="240"/>
    </row>
    <row r="24" spans="1:27" s="3" customFormat="1" x14ac:dyDescent="0.2">
      <c r="A24" s="3" t="s">
        <v>197</v>
      </c>
      <c r="B24" s="3" t="s">
        <v>259</v>
      </c>
      <c r="C24" s="3">
        <f>'RCA data'!C11</f>
        <v>380</v>
      </c>
      <c r="D24" s="3">
        <f>'RCA data'!D11</f>
        <v>347</v>
      </c>
      <c r="E24" s="3">
        <f>'RCA data'!E11</f>
        <v>273</v>
      </c>
      <c r="F24" s="3">
        <f>'RCA data'!F11</f>
        <v>286</v>
      </c>
      <c r="G24" s="3">
        <f>'RCA data'!G11</f>
        <v>239</v>
      </c>
      <c r="H24" s="3">
        <f>'RCA data'!H11</f>
        <v>306</v>
      </c>
      <c r="I24" s="3">
        <f>'RCA data'!I11</f>
        <v>361</v>
      </c>
      <c r="J24" s="3">
        <f>ROUND('RCA data'!J11,0)</f>
        <v>475</v>
      </c>
      <c r="K24" s="3">
        <f>ROUND('RCA data'!K11,0)</f>
        <v>158</v>
      </c>
      <c r="L24" s="121">
        <f>ROUND('RCA data'!L11,0)</f>
        <v>189</v>
      </c>
      <c r="M24" s="121">
        <f>ROUND('RCA data'!M11,0)</f>
        <v>168</v>
      </c>
      <c r="N24" s="121">
        <f>ROUND('RCA data'!N11,0)</f>
        <v>208</v>
      </c>
      <c r="O24" s="121">
        <f>ROUND('RCA data'!O11,0)</f>
        <v>245</v>
      </c>
      <c r="P24" s="121">
        <f>ROUND('RCA data'!P11,0)</f>
        <v>227</v>
      </c>
      <c r="Q24" s="121">
        <f>ROUND('RCA data'!Q11,0)</f>
        <v>296</v>
      </c>
      <c r="R24" s="121">
        <f>ROUND('RCA data'!R11,0)</f>
        <v>384</v>
      </c>
      <c r="S24" s="121">
        <f>ROUND('RCA data'!S11,0)</f>
        <v>392</v>
      </c>
      <c r="T24" s="121">
        <f>ROUND('RCA data'!T11,0)</f>
        <v>380</v>
      </c>
      <c r="U24" s="121">
        <f>ROUND('RCA data'!U11,0)</f>
        <v>344</v>
      </c>
      <c r="V24" s="121">
        <f>ROUND('RCA data'!V11,0)</f>
        <v>330</v>
      </c>
      <c r="W24" s="344">
        <f>ROUND('RCA data'!W11,0)</f>
        <v>309</v>
      </c>
      <c r="X24" s="79">
        <f>ROUND('RCA data'!X11,0)</f>
        <v>310</v>
      </c>
      <c r="Y24" s="79">
        <f>ROUND('RCA data'!Y11,0)</f>
        <v>311</v>
      </c>
      <c r="Z24" s="79">
        <f>ROUND('RCA data'!Z11,0)</f>
        <v>312</v>
      </c>
      <c r="AA24" s="240">
        <f>ROUND('RCA data'!AA11,0)</f>
        <v>313</v>
      </c>
    </row>
    <row r="25" spans="1:27" s="3" customFormat="1" x14ac:dyDescent="0.2">
      <c r="A25" s="3" t="s">
        <v>198</v>
      </c>
      <c r="B25" s="3" t="s">
        <v>259</v>
      </c>
      <c r="C25" s="6">
        <f>'RCA data'!C23*-1</f>
        <v>0</v>
      </c>
      <c r="D25" s="6">
        <f>'RCA data'!D23*-1</f>
        <v>-1</v>
      </c>
      <c r="E25" s="6">
        <f>'RCA data'!E23*-1</f>
        <v>-1</v>
      </c>
      <c r="F25" s="6">
        <f>'RCA data'!F23*-1</f>
        <v>-1</v>
      </c>
      <c r="G25" s="6">
        <f>'RCA data'!G23*-1</f>
        <v>-1</v>
      </c>
      <c r="H25" s="6">
        <f>'RCA data'!H23*-1</f>
        <v>-2</v>
      </c>
      <c r="I25" s="6">
        <f>'RCA data'!I23*-1</f>
        <v>-2</v>
      </c>
      <c r="J25" s="6">
        <f>'RCA data'!J23*-1</f>
        <v>-2.149</v>
      </c>
      <c r="K25" s="6">
        <f>'RCA data'!K23*-1</f>
        <v>-5.2229999999999999</v>
      </c>
      <c r="L25" s="125">
        <f>'RCA data'!L23*-1</f>
        <v>-7.9279999999999999</v>
      </c>
      <c r="M25" s="125">
        <f>'RCA data'!M23*-1</f>
        <v>-9.5860000000000003</v>
      </c>
      <c r="N25" s="125">
        <f>'RCA data'!N23*-1</f>
        <v>-10.486000000000001</v>
      </c>
      <c r="O25" s="125">
        <f>'RCA data'!O23*-1</f>
        <v>-10.577</v>
      </c>
      <c r="P25" s="125">
        <f>'RCA data'!P23*-1</f>
        <v>-13.72</v>
      </c>
      <c r="Q25" s="125">
        <f>'RCA data'!Q23*-1</f>
        <v>-13.725</v>
      </c>
      <c r="R25" s="125">
        <f>'RCA data'!R23*-1</f>
        <v>-15.369</v>
      </c>
      <c r="S25" s="125">
        <f>'RCA data'!S23*-1</f>
        <v>-15.557</v>
      </c>
      <c r="T25" s="125">
        <f>'RCA data'!T23*-1</f>
        <v>-17.167999999999999</v>
      </c>
      <c r="U25" s="125">
        <f>'RCA data'!U23*-1</f>
        <v>-24.364999999999998</v>
      </c>
      <c r="V25" s="125">
        <f>'RCA data'!V23*-1</f>
        <v>-26.102</v>
      </c>
      <c r="W25" s="345">
        <f>'RCA data'!W23*-1</f>
        <v>-25.126000000000001</v>
      </c>
      <c r="X25" s="81">
        <f>'RCA data'!X23*-1</f>
        <v>-24.610492500000007</v>
      </c>
      <c r="Y25" s="81">
        <f>'RCA data'!Y23*-1</f>
        <v>-24.188073678125015</v>
      </c>
      <c r="Z25" s="81">
        <f>'RCA data'!Z23*-1</f>
        <v>-23.864661279269548</v>
      </c>
      <c r="AA25" s="241">
        <f>'RCA data'!AA23*-1</f>
        <v>-23.646407364209558</v>
      </c>
    </row>
    <row r="26" spans="1:27" s="8" customFormat="1" x14ac:dyDescent="0.2">
      <c r="A26" s="8" t="s">
        <v>202</v>
      </c>
      <c r="B26" s="8" t="s">
        <v>31</v>
      </c>
      <c r="C26" s="8">
        <f t="shared" ref="C26:K26" si="19">SUM(C24:C25)</f>
        <v>380</v>
      </c>
      <c r="D26" s="8">
        <f t="shared" si="19"/>
        <v>346</v>
      </c>
      <c r="E26" s="8">
        <f t="shared" si="19"/>
        <v>272</v>
      </c>
      <c r="F26" s="8">
        <f t="shared" si="19"/>
        <v>285</v>
      </c>
      <c r="G26" s="8">
        <f t="shared" si="19"/>
        <v>238</v>
      </c>
      <c r="H26" s="8">
        <f t="shared" si="19"/>
        <v>304</v>
      </c>
      <c r="I26" s="8">
        <f t="shared" si="19"/>
        <v>359</v>
      </c>
      <c r="J26" s="8">
        <f t="shared" si="19"/>
        <v>472.851</v>
      </c>
      <c r="K26" s="8">
        <f t="shared" si="19"/>
        <v>152.77699999999999</v>
      </c>
      <c r="L26" s="119">
        <f t="shared" ref="L26:Y26" si="20">SUM(L24:L25)</f>
        <v>181.072</v>
      </c>
      <c r="M26" s="119">
        <f t="shared" si="20"/>
        <v>158.41399999999999</v>
      </c>
      <c r="N26" s="119">
        <f t="shared" si="20"/>
        <v>197.51400000000001</v>
      </c>
      <c r="O26" s="119">
        <f t="shared" si="20"/>
        <v>234.423</v>
      </c>
      <c r="P26" s="119">
        <f t="shared" si="20"/>
        <v>213.28</v>
      </c>
      <c r="Q26" s="119">
        <f t="shared" si="20"/>
        <v>282.27499999999998</v>
      </c>
      <c r="R26" s="119">
        <f t="shared" si="20"/>
        <v>368.63099999999997</v>
      </c>
      <c r="S26" s="119">
        <f t="shared" si="20"/>
        <v>376.44299999999998</v>
      </c>
      <c r="T26" s="119">
        <f t="shared" si="20"/>
        <v>362.83199999999999</v>
      </c>
      <c r="U26" s="119">
        <f t="shared" si="20"/>
        <v>319.63499999999999</v>
      </c>
      <c r="V26" s="119">
        <f t="shared" si="20"/>
        <v>303.89800000000002</v>
      </c>
      <c r="W26" s="342">
        <f t="shared" si="20"/>
        <v>283.87400000000002</v>
      </c>
      <c r="X26" s="78">
        <f t="shared" si="20"/>
        <v>285.38950749999998</v>
      </c>
      <c r="Y26" s="78">
        <f t="shared" si="20"/>
        <v>286.81192632187498</v>
      </c>
      <c r="Z26" s="78">
        <f t="shared" ref="Z26:AA26" si="21">SUM(Z24:Z25)</f>
        <v>288.13533872073043</v>
      </c>
      <c r="AA26" s="242">
        <f t="shared" si="21"/>
        <v>289.35359263579045</v>
      </c>
    </row>
    <row r="27" spans="1:27" s="3" customFormat="1" x14ac:dyDescent="0.2">
      <c r="A27" s="3" t="s">
        <v>196</v>
      </c>
      <c r="B27" s="3" t="s">
        <v>265</v>
      </c>
      <c r="C27" s="3">
        <v>0</v>
      </c>
      <c r="D27" s="3">
        <f>'RCA exp g(l)'!C64</f>
        <v>74.314374999999984</v>
      </c>
      <c r="E27" s="3">
        <f>'RCA exp g(l)'!D64</f>
        <v>169.16749999999996</v>
      </c>
      <c r="F27" s="3">
        <f>'RCA exp g(l)'!E64</f>
        <v>176.80374999999998</v>
      </c>
      <c r="G27" s="3">
        <f>'RCA exp g(l)'!F64</f>
        <v>233.82749999999999</v>
      </c>
      <c r="H27" s="3">
        <f>ROUND('RCA exp g(l)'!G64,0)</f>
        <v>175</v>
      </c>
      <c r="I27" s="3">
        <f>'RCA exp g(l)'!H64</f>
        <v>146.31899999999996</v>
      </c>
      <c r="J27" s="3">
        <f>ROUND('RCA exp g(l)'!I64,0)</f>
        <v>65</v>
      </c>
      <c r="K27" s="3">
        <f>ROUND('RCA exp g(l)'!J64,0)</f>
        <v>367</v>
      </c>
      <c r="L27" s="121">
        <f>ROUND('RCA exp g(l)'!K64,0)</f>
        <v>313</v>
      </c>
      <c r="M27" s="121">
        <f>ROUND('RCA exp g(l)'!L64,0)</f>
        <v>310</v>
      </c>
      <c r="N27" s="121">
        <f>ROUND('RCA exp g(l)'!M64,0)</f>
        <v>240</v>
      </c>
      <c r="O27" s="121">
        <f>ROUND('RCA exp g(l)'!N64,0)</f>
        <v>175</v>
      </c>
      <c r="P27" s="121">
        <f>ROUND('RCA exp g(l)'!O64,0)</f>
        <v>170</v>
      </c>
      <c r="Q27" s="121">
        <f>ROUND('RCA exp g(l)'!P64,0)</f>
        <v>76</v>
      </c>
      <c r="R27" s="121">
        <f>ROUND('RCA exp g(l)'!Q64,0)</f>
        <v>-19</v>
      </c>
      <c r="S27" s="121">
        <f>ROUND('RCA exp g(l)'!R64,0)</f>
        <v>-26</v>
      </c>
      <c r="T27" s="121">
        <f>ROUND('RCA exp g(l)'!S64,0)</f>
        <v>-15</v>
      </c>
      <c r="U27" s="121">
        <f>ROUND('RCA exp g(l)'!T64,0)</f>
        <v>20</v>
      </c>
      <c r="V27" s="121">
        <f>ROUND('RCA exp g(l)'!U64,0)</f>
        <v>23</v>
      </c>
      <c r="W27" s="344">
        <f>ROUND('RCA exp g(l)'!V64,0)</f>
        <v>21</v>
      </c>
      <c r="X27" s="79">
        <f>ROUND('RCA exp g(l)'!W64,0)</f>
        <v>21</v>
      </c>
      <c r="Y27" s="79">
        <f>ROUND('RCA exp g(l)'!X64,0)</f>
        <v>19</v>
      </c>
      <c r="Z27" s="79">
        <f>ROUND('RCA exp g(l)'!Y64,0)</f>
        <v>18</v>
      </c>
      <c r="AA27" s="240">
        <f>ROUND('RCA exp g(l)'!Z64,0)</f>
        <v>19</v>
      </c>
    </row>
    <row r="28" spans="1:27" s="3" customFormat="1" ht="13.5" thickBot="1" x14ac:dyDescent="0.25">
      <c r="A28" s="8" t="s">
        <v>205</v>
      </c>
      <c r="B28" s="8" t="s">
        <v>31</v>
      </c>
      <c r="C28" s="51">
        <f t="shared" ref="C28:K28" si="22">SUM(C26:C27)</f>
        <v>380</v>
      </c>
      <c r="D28" s="51">
        <f t="shared" si="22"/>
        <v>420.31437499999998</v>
      </c>
      <c r="E28" s="51">
        <f t="shared" si="22"/>
        <v>441.16749999999996</v>
      </c>
      <c r="F28" s="51">
        <f t="shared" si="22"/>
        <v>461.80374999999998</v>
      </c>
      <c r="G28" s="51">
        <f t="shared" si="22"/>
        <v>471.82749999999999</v>
      </c>
      <c r="H28" s="51">
        <f t="shared" si="22"/>
        <v>479</v>
      </c>
      <c r="I28" s="51">
        <f t="shared" si="22"/>
        <v>505.31899999999996</v>
      </c>
      <c r="J28" s="51">
        <f t="shared" si="22"/>
        <v>537.851</v>
      </c>
      <c r="K28" s="51">
        <f t="shared" si="22"/>
        <v>519.77700000000004</v>
      </c>
      <c r="L28" s="148">
        <f t="shared" ref="L28:Y28" si="23">SUM(L26:L27)</f>
        <v>494.072</v>
      </c>
      <c r="M28" s="148">
        <f t="shared" si="23"/>
        <v>468.41399999999999</v>
      </c>
      <c r="N28" s="148">
        <f t="shared" si="23"/>
        <v>437.51400000000001</v>
      </c>
      <c r="O28" s="148">
        <f t="shared" si="23"/>
        <v>409.423</v>
      </c>
      <c r="P28" s="148">
        <f t="shared" si="23"/>
        <v>383.28</v>
      </c>
      <c r="Q28" s="148">
        <f t="shared" si="23"/>
        <v>358.27499999999998</v>
      </c>
      <c r="R28" s="148">
        <f t="shared" si="23"/>
        <v>349.63099999999997</v>
      </c>
      <c r="S28" s="148">
        <f t="shared" si="23"/>
        <v>350.44299999999998</v>
      </c>
      <c r="T28" s="148">
        <f t="shared" si="23"/>
        <v>347.83199999999999</v>
      </c>
      <c r="U28" s="148">
        <f t="shared" si="23"/>
        <v>339.63499999999999</v>
      </c>
      <c r="V28" s="148">
        <f t="shared" si="23"/>
        <v>326.89800000000002</v>
      </c>
      <c r="W28" s="376">
        <f t="shared" si="23"/>
        <v>304.87400000000002</v>
      </c>
      <c r="X28" s="105">
        <f t="shared" si="23"/>
        <v>306.38950749999998</v>
      </c>
      <c r="Y28" s="105">
        <f t="shared" si="23"/>
        <v>305.81192632187498</v>
      </c>
      <c r="Z28" s="105">
        <f t="shared" ref="Z28:AA28" si="24">SUM(Z26:Z27)</f>
        <v>306.13533872073043</v>
      </c>
      <c r="AA28" s="280">
        <f t="shared" si="24"/>
        <v>308.35359263579045</v>
      </c>
    </row>
    <row r="29" spans="1:27" s="3" customFormat="1" ht="13.5" thickTop="1" x14ac:dyDescent="0.2">
      <c r="L29" s="121"/>
      <c r="M29" s="121"/>
      <c r="N29" s="121"/>
      <c r="O29" s="121"/>
      <c r="P29" s="121"/>
      <c r="Q29" s="121"/>
      <c r="R29" s="121"/>
      <c r="S29" s="121"/>
      <c r="T29" s="121"/>
      <c r="U29" s="121"/>
      <c r="V29" s="121"/>
      <c r="W29" s="344"/>
      <c r="X29" s="79"/>
      <c r="Y29" s="79"/>
      <c r="Z29" s="79"/>
      <c r="AA29" s="240"/>
    </row>
    <row r="30" spans="1:27" s="3" customFormat="1" x14ac:dyDescent="0.2">
      <c r="J30" s="157"/>
      <c r="L30" s="121"/>
      <c r="M30" s="121"/>
      <c r="N30" s="121"/>
      <c r="O30" s="121"/>
      <c r="P30" s="121"/>
      <c r="Q30" s="121"/>
      <c r="R30" s="121"/>
      <c r="S30" s="121"/>
      <c r="T30" s="121"/>
      <c r="U30" s="121"/>
      <c r="V30" s="121"/>
      <c r="W30" s="344"/>
      <c r="X30" s="79"/>
      <c r="Y30" s="79"/>
      <c r="Z30" s="79"/>
      <c r="AA30" s="240"/>
    </row>
    <row r="31" spans="1:27" x14ac:dyDescent="0.2">
      <c r="J31" t="s">
        <v>360</v>
      </c>
      <c r="Q31" s="232"/>
    </row>
    <row r="32" spans="1:27" x14ac:dyDescent="0.2">
      <c r="Q32" s="106"/>
    </row>
  </sheetData>
  <phoneticPr fontId="0" type="noConversion"/>
  <pageMargins left="0.75" right="0.75" top="1" bottom="1" header="0.5" footer="0.5"/>
  <pageSetup paperSize="5" orientation="landscape" r:id="rId1"/>
  <headerFooter alignWithMargins="0">
    <oddFooter>&amp;L&amp;"Arial,Bold"&amp;F&amp;C&amp;A&amp;R&amp;D  &amp;T</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G57"/>
  <sheetViews>
    <sheetView workbookViewId="0">
      <pane xSplit="2" ySplit="4" topLeftCell="S13" activePane="bottomRight" state="frozen"/>
      <selection activeCell="A41" sqref="A41"/>
      <selection pane="topRight" activeCell="A41" sqref="A41"/>
      <selection pane="bottomLeft" activeCell="A41" sqref="A41"/>
      <selection pane="bottomRight" activeCell="W48" sqref="W48"/>
    </sheetView>
  </sheetViews>
  <sheetFormatPr baseColWidth="10" defaultColWidth="9.140625" defaultRowHeight="12.75" outlineLevelRow="1" outlineLevelCol="1" x14ac:dyDescent="0.2"/>
  <cols>
    <col min="1" max="1" width="48.140625" customWidth="1"/>
    <col min="2" max="2" width="20.28515625" customWidth="1"/>
    <col min="3" max="4" width="9.140625" hidden="1" customWidth="1"/>
    <col min="5" max="5" width="8.85546875" hidden="1" customWidth="1"/>
    <col min="6" max="6" width="11.5703125" hidden="1" customWidth="1"/>
    <col min="7" max="13" width="11.5703125" customWidth="1" outlineLevel="1"/>
    <col min="14" max="14" width="11" customWidth="1" outlineLevel="1"/>
    <col min="15" max="16" width="9.140625" customWidth="1" outlineLevel="1"/>
    <col min="17" max="17" width="9.140625" style="115" customWidth="1" outlineLevel="1"/>
    <col min="18" max="18" width="15" style="115" customWidth="1" outlineLevel="1"/>
    <col min="19" max="19" width="14.7109375" style="115" customWidth="1" outlineLevel="1"/>
    <col min="20" max="20" width="15.28515625" style="115" customWidth="1" outlineLevel="1"/>
    <col min="21" max="22" width="16.5703125" style="115" bestFit="1" customWidth="1"/>
    <col min="23" max="25" width="18.28515625" style="115" bestFit="1" customWidth="1"/>
    <col min="26" max="27" width="16.42578125" style="115" bestFit="1" customWidth="1"/>
    <col min="28" max="28" width="17.7109375" style="337" bestFit="1" customWidth="1"/>
    <col min="29" max="31" width="17.7109375" style="76" hidden="1" customWidth="1" outlineLevel="1"/>
    <col min="32" max="32" width="19.5703125" style="238" hidden="1" customWidth="1" outlineLevel="1"/>
    <col min="33" max="33" width="9.140625" style="115" collapsed="1"/>
    <col min="34" max="16384" width="9.140625" style="115"/>
  </cols>
  <sheetData>
    <row r="1" spans="1:32" ht="15.75" x14ac:dyDescent="0.25">
      <c r="A1" s="18" t="s">
        <v>278</v>
      </c>
    </row>
    <row r="2" spans="1:32" x14ac:dyDescent="0.2">
      <c r="A2" s="2" t="s">
        <v>279</v>
      </c>
    </row>
    <row r="3" spans="1:32" x14ac:dyDescent="0.2">
      <c r="Z3" s="338" t="s">
        <v>178</v>
      </c>
      <c r="AA3" s="338" t="s">
        <v>294</v>
      </c>
      <c r="AB3" s="336" t="s">
        <v>309</v>
      </c>
      <c r="AC3" s="309" t="s">
        <v>315</v>
      </c>
      <c r="AD3" s="309" t="s">
        <v>316</v>
      </c>
      <c r="AE3" s="309" t="s">
        <v>317</v>
      </c>
      <c r="AF3" s="310" t="s">
        <v>318</v>
      </c>
    </row>
    <row r="4" spans="1:32" s="214"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1">
        <v>2015</v>
      </c>
      <c r="AC4" s="77">
        <v>2016</v>
      </c>
      <c r="AD4" s="77">
        <v>2017</v>
      </c>
      <c r="AE4" s="77">
        <v>2018</v>
      </c>
      <c r="AF4" s="239">
        <v>2019</v>
      </c>
    </row>
    <row r="6" spans="1:32" s="121" customFormat="1" x14ac:dyDescent="0.2">
      <c r="A6" s="12" t="s">
        <v>280</v>
      </c>
      <c r="B6" s="3"/>
      <c r="C6" s="3"/>
      <c r="D6" s="3"/>
      <c r="E6" s="3"/>
      <c r="F6" s="3"/>
      <c r="G6" s="3"/>
      <c r="H6" s="3"/>
      <c r="I6" s="3"/>
      <c r="J6" s="3"/>
      <c r="K6" s="3"/>
      <c r="L6" s="3"/>
      <c r="M6" s="3"/>
      <c r="N6" s="3"/>
      <c r="O6" s="3"/>
      <c r="P6" s="3"/>
      <c r="AB6" s="344"/>
      <c r="AC6" s="79"/>
      <c r="AD6" s="79"/>
      <c r="AE6" s="79"/>
      <c r="AF6" s="240"/>
    </row>
    <row r="7" spans="1:32" s="121" customFormat="1" x14ac:dyDescent="0.2">
      <c r="A7" s="3"/>
      <c r="B7" s="3"/>
      <c r="C7" s="3"/>
      <c r="D7" s="3"/>
      <c r="E7" s="3"/>
      <c r="F7" s="3"/>
      <c r="G7" s="3"/>
      <c r="H7" s="3"/>
      <c r="I7" s="3"/>
      <c r="J7" s="3"/>
      <c r="K7" s="3"/>
      <c r="L7" s="3"/>
      <c r="M7" s="3"/>
      <c r="N7" s="3"/>
      <c r="O7" s="3"/>
      <c r="P7" s="3"/>
      <c r="AB7" s="344"/>
      <c r="AC7" s="79"/>
      <c r="AD7" s="79"/>
      <c r="AE7" s="79"/>
      <c r="AF7" s="240"/>
    </row>
    <row r="8" spans="1:32" s="121" customFormat="1" x14ac:dyDescent="0.2">
      <c r="A8" s="3" t="s">
        <v>197</v>
      </c>
      <c r="B8" s="3" t="s">
        <v>281</v>
      </c>
      <c r="C8" s="3">
        <f>liability!C8</f>
        <v>12195.5</v>
      </c>
      <c r="D8" s="3">
        <f>liability!D8</f>
        <v>13739.5</v>
      </c>
      <c r="E8" s="3">
        <f>liability!E8</f>
        <v>15390.5</v>
      </c>
      <c r="F8" s="3">
        <f>liability!F8</f>
        <v>16999</v>
      </c>
      <c r="G8" s="3">
        <f>liability!G8</f>
        <v>18424</v>
      </c>
      <c r="H8" s="3">
        <f>liability!H8</f>
        <v>19503.5</v>
      </c>
      <c r="I8" s="3">
        <f>liability!I8</f>
        <v>20916.5</v>
      </c>
      <c r="J8" s="3">
        <f>liability!J8</f>
        <v>23235</v>
      </c>
      <c r="K8" s="3">
        <f>liability!K8+'RCA liab'!F8</f>
        <v>24460.5</v>
      </c>
      <c r="L8" s="3">
        <f>liability!L8+'RCA liab'!G8</f>
        <v>25292.5</v>
      </c>
      <c r="M8" s="3">
        <f>liability!M8+'RCA liab'!H8</f>
        <v>27696.5</v>
      </c>
      <c r="N8" s="3">
        <f>liability!N8+'RCA liab'!I8</f>
        <v>32365</v>
      </c>
      <c r="O8" s="3">
        <f>liability!O8+'RCA liab'!J8</f>
        <v>33897</v>
      </c>
      <c r="P8" s="3">
        <f>liability!P8+'RCA liab'!K8</f>
        <v>35583.5</v>
      </c>
      <c r="Q8" s="121">
        <f>liability!Q8+'RCA liab'!L8</f>
        <v>37139</v>
      </c>
      <c r="R8" s="121">
        <f>liability!R8+'RCA liab'!M8</f>
        <v>40269.5</v>
      </c>
      <c r="S8" s="121">
        <f>liability!S8+'RCA liab'!N8</f>
        <v>41664</v>
      </c>
      <c r="T8" s="121">
        <f>liability!T8+'RCA liab'!O8</f>
        <v>44300.5</v>
      </c>
      <c r="U8" s="121">
        <f>liability!U8+'RCA liab'!P8</f>
        <v>46124.5</v>
      </c>
      <c r="V8" s="226">
        <f>liability!V8+'RCA liab'!Q8</f>
        <v>48452</v>
      </c>
      <c r="W8" s="121">
        <f>liability!W8+'RCA liab'!R8</f>
        <v>49750.5</v>
      </c>
      <c r="X8" s="121">
        <f>liability!X8+'RCA liab'!S8</f>
        <v>52042.5</v>
      </c>
      <c r="Y8" s="121">
        <f>liability!Y8+'RCA liab'!T8</f>
        <v>53167</v>
      </c>
      <c r="Z8" s="121">
        <f>liability!Z8+'RCA liab'!U8</f>
        <v>54934</v>
      </c>
      <c r="AA8" s="121">
        <f>liability!AA8+'RCA liab'!V8</f>
        <v>57065.5</v>
      </c>
      <c r="AB8" s="344">
        <f>liability!AB8+'RCA liab'!W8</f>
        <v>58338</v>
      </c>
      <c r="AC8" s="79">
        <f>liability!AC8+'RCA liab'!X8</f>
        <v>60600.578869909761</v>
      </c>
      <c r="AD8" s="79">
        <f>liability!AD8+'RCA liab'!Y8</f>
        <v>62992.772937482718</v>
      </c>
      <c r="AE8" s="79">
        <f>liability!AE8+'RCA liab'!Z8</f>
        <v>65518.388075468276</v>
      </c>
      <c r="AF8" s="240">
        <f>liability!AF8+'RCA liab'!AA8</f>
        <v>68189.741449586654</v>
      </c>
    </row>
    <row r="9" spans="1:32" s="121" customFormat="1" x14ac:dyDescent="0.2">
      <c r="A9" s="3" t="s">
        <v>206</v>
      </c>
      <c r="B9" s="3" t="s">
        <v>282</v>
      </c>
      <c r="C9" s="3">
        <f>liability!C9</f>
        <v>0</v>
      </c>
      <c r="D9" s="3">
        <f>liability!D9</f>
        <v>0</v>
      </c>
      <c r="E9" s="3">
        <f>liability!E9</f>
        <v>0</v>
      </c>
      <c r="F9" s="3">
        <f>liability!F9</f>
        <v>0</v>
      </c>
      <c r="G9" s="3">
        <f>liability!G9</f>
        <v>0</v>
      </c>
      <c r="H9" s="3">
        <f>liability!H9</f>
        <v>0</v>
      </c>
      <c r="I9" s="3">
        <f>liability!I9</f>
        <v>250</v>
      </c>
      <c r="J9" s="3">
        <f>liability!J9</f>
        <v>0</v>
      </c>
      <c r="K9" s="3">
        <f>liability!K9</f>
        <v>0</v>
      </c>
      <c r="L9" s="3">
        <f>liability!L9</f>
        <v>0</v>
      </c>
      <c r="M9" s="3">
        <f>liability!M9</f>
        <v>0</v>
      </c>
      <c r="N9" s="3">
        <f>liability!N9</f>
        <v>0</v>
      </c>
      <c r="O9" s="3">
        <f>liability!O9</f>
        <v>0</v>
      </c>
      <c r="P9" s="3">
        <f>liability!P9</f>
        <v>0</v>
      </c>
      <c r="Q9" s="121">
        <f>liability!Q9</f>
        <v>0</v>
      </c>
      <c r="R9" s="121">
        <f>liability!R9</f>
        <v>0</v>
      </c>
      <c r="S9" s="121">
        <f>liability!S9</f>
        <v>0</v>
      </c>
      <c r="T9" s="121">
        <f>liability!T9</f>
        <v>0</v>
      </c>
      <c r="U9" s="121">
        <f>liability!U9</f>
        <v>0</v>
      </c>
      <c r="V9" s="226">
        <f>liability!V9</f>
        <v>0</v>
      </c>
      <c r="W9" s="121">
        <f>liability!W9</f>
        <v>0</v>
      </c>
      <c r="X9" s="121">
        <f>liability!X9</f>
        <v>0</v>
      </c>
      <c r="Y9" s="121">
        <f>liability!Y9</f>
        <v>0</v>
      </c>
      <c r="Z9" s="121">
        <f>liability!Z9</f>
        <v>0</v>
      </c>
      <c r="AA9" s="121">
        <f>liability!AA9</f>
        <v>0</v>
      </c>
      <c r="AB9" s="344">
        <f>liability!AB9</f>
        <v>0</v>
      </c>
      <c r="AC9" s="79">
        <f>liability!AC9</f>
        <v>0</v>
      </c>
      <c r="AD9" s="79">
        <f>liability!AD9</f>
        <v>0</v>
      </c>
      <c r="AE9" s="79">
        <f>liability!AE9</f>
        <v>0</v>
      </c>
      <c r="AF9" s="240">
        <f>liability!AF9</f>
        <v>0</v>
      </c>
    </row>
    <row r="10" spans="1:32" s="121" customFormat="1" x14ac:dyDescent="0.2">
      <c r="A10" s="3" t="s">
        <v>284</v>
      </c>
      <c r="B10" s="3" t="s">
        <v>286</v>
      </c>
      <c r="C10" s="3"/>
      <c r="D10" s="3"/>
      <c r="E10" s="3"/>
      <c r="F10" s="3"/>
      <c r="G10" s="3"/>
      <c r="H10" s="3"/>
      <c r="I10" s="3"/>
      <c r="J10" s="3">
        <f>'RCA liab'!$E$11</f>
        <v>220.58374999999998</v>
      </c>
      <c r="K10" s="3"/>
      <c r="L10" s="3"/>
      <c r="M10" s="3"/>
      <c r="N10" s="3"/>
      <c r="O10" s="3"/>
      <c r="P10" s="3"/>
      <c r="V10" s="226"/>
      <c r="AB10" s="344"/>
      <c r="AC10" s="79"/>
      <c r="AD10" s="79"/>
      <c r="AE10" s="79"/>
      <c r="AF10" s="240"/>
    </row>
    <row r="11" spans="1:32" s="121" customFormat="1" x14ac:dyDescent="0.2">
      <c r="A11" s="3" t="s">
        <v>198</v>
      </c>
      <c r="B11" s="3" t="s">
        <v>281</v>
      </c>
      <c r="C11" s="3">
        <f>liability!C10</f>
        <v>-10062</v>
      </c>
      <c r="D11" s="3">
        <f>liability!D10</f>
        <v>-12348.5</v>
      </c>
      <c r="E11" s="3">
        <f>liability!E10</f>
        <v>-13886.5</v>
      </c>
      <c r="F11" s="3">
        <f>liability!F10</f>
        <v>-16855.5</v>
      </c>
      <c r="G11" s="3">
        <f>liability!G10</f>
        <v>-17121</v>
      </c>
      <c r="H11" s="3">
        <f>liability!H10</f>
        <v>-19046</v>
      </c>
      <c r="I11" s="3">
        <f>liability!I10</f>
        <v>-21506.5</v>
      </c>
      <c r="J11" s="3">
        <f>liability!J10</f>
        <v>-24450.5</v>
      </c>
      <c r="K11" s="3">
        <f>liability!K10+'RCA liab'!F9</f>
        <v>-27191.5</v>
      </c>
      <c r="L11" s="3">
        <f>liability!L10+'RCA liab'!G9</f>
        <v>-30520</v>
      </c>
      <c r="M11" s="3">
        <f>liability!M10+'RCA liab'!H9</f>
        <v>-34391</v>
      </c>
      <c r="N11" s="3">
        <f>liability!N10+'RCA liab'!I9</f>
        <v>-36215.5</v>
      </c>
      <c r="O11" s="3">
        <f>liability!O10+'RCA liab'!J9</f>
        <v>-37929.574500000002</v>
      </c>
      <c r="P11" s="3">
        <f>liability!P10+'RCA liab'!K9</f>
        <v>-39581.111499999999</v>
      </c>
      <c r="Q11" s="121">
        <f>liability!Q10+'RCA liab'!L9</f>
        <v>-41399.464</v>
      </c>
      <c r="R11" s="121">
        <f>liability!R10+'RCA liab'!M9</f>
        <v>-44351.792999999998</v>
      </c>
      <c r="S11" s="121">
        <f>liability!S10+'RCA liab'!N9</f>
        <v>-47430.243000000002</v>
      </c>
      <c r="T11" s="121">
        <f>liability!T10+'RCA liab'!O9</f>
        <v>-52463.788500000002</v>
      </c>
      <c r="U11" s="121">
        <f>liability!U10+'RCA liab'!P9</f>
        <v>-53485.36</v>
      </c>
      <c r="V11" s="226">
        <f>liability!V10+'RCA liab'!Q9</f>
        <v>-54562.862500000003</v>
      </c>
      <c r="W11" s="121">
        <f>liability!W10+'RCA liab'!R9</f>
        <v>-57130.684500000003</v>
      </c>
      <c r="X11" s="121">
        <f>liability!X10+'RCA liab'!S9</f>
        <v>-57850.2785</v>
      </c>
      <c r="Y11" s="121">
        <f>liability!Y10+'RCA liab'!T9</f>
        <v>-59940.584000000003</v>
      </c>
      <c r="Z11" s="121">
        <f>liability!Z10+'RCA liab'!U9</f>
        <v>-65445.682500000003</v>
      </c>
      <c r="AA11" s="121">
        <f>liability!AA10+'RCA liab'!V9</f>
        <v>-71551.051000000007</v>
      </c>
      <c r="AB11" s="344">
        <f>liability!AB10+'RCA liab'!W9</f>
        <v>-78511.562999999995</v>
      </c>
      <c r="AC11" s="79">
        <f>liability!AC10+'RCA liab'!X9</f>
        <v>-85415.242688564147</v>
      </c>
      <c r="AD11" s="79">
        <f>liability!AD10+'RCA liab'!Y9</f>
        <v>-91878.668161446098</v>
      </c>
      <c r="AE11" s="79">
        <f>liability!AE10+'RCA liab'!Z9</f>
        <v>-98081.557530280363</v>
      </c>
      <c r="AF11" s="240">
        <f>liability!AF10+'RCA liab'!AA9</f>
        <v>-103860.52592315835</v>
      </c>
    </row>
    <row r="12" spans="1:32" s="121" customFormat="1" x14ac:dyDescent="0.2">
      <c r="A12" s="3" t="s">
        <v>391</v>
      </c>
      <c r="B12" s="3" t="s">
        <v>281</v>
      </c>
      <c r="C12" s="3">
        <f>liability!C11</f>
        <v>0</v>
      </c>
      <c r="D12" s="3">
        <f>liability!D11</f>
        <v>721.71500000000015</v>
      </c>
      <c r="E12" s="3">
        <f>liability!E11</f>
        <v>343.21125000000029</v>
      </c>
      <c r="F12" s="3">
        <f>liability!F11</f>
        <v>1586.2581249999985</v>
      </c>
      <c r="G12" s="3">
        <f>liability!G11</f>
        <v>746.65187499999774</v>
      </c>
      <c r="H12" s="3">
        <f>liability!H11</f>
        <v>1618.3456249999999</v>
      </c>
      <c r="I12" s="3">
        <f>liability!I11</f>
        <v>2252.1831250000014</v>
      </c>
      <c r="J12" s="3">
        <f>liability!J11</f>
        <v>2676.4274999999998</v>
      </c>
      <c r="K12" s="3">
        <f>liability!K11+'RCA liab'!F10</f>
        <v>3815.9006250000007</v>
      </c>
      <c r="L12" s="3">
        <f>liability!L11+'RCA liab'!G10</f>
        <v>5592.5537499999973</v>
      </c>
      <c r="M12" s="3">
        <f>liability!M11+'RCA liab'!H10</f>
        <v>6153.217499999997</v>
      </c>
      <c r="N12" s="3">
        <f>liability!N11+'RCA liab'!I10</f>
        <v>2823.5169999999962</v>
      </c>
      <c r="O12" s="3">
        <f>liability!O11+'RCA liab'!J10</f>
        <v>2678.831898749997</v>
      </c>
      <c r="P12" s="3">
        <f>liability!P11+'RCA liab'!K10</f>
        <v>2296.2518987499952</v>
      </c>
      <c r="Q12" s="121">
        <f>liability!Q11+'RCA liab'!L10</f>
        <v>2184.6393987499923</v>
      </c>
      <c r="R12" s="121">
        <f>liability!R11+'RCA liab'!M10</f>
        <v>1648.4143987499938</v>
      </c>
      <c r="S12" s="121">
        <f>liability!S11+'RCA liab'!N10</f>
        <v>3008.1893987499952</v>
      </c>
      <c r="T12" s="121">
        <f>liability!T11+'RCA liab'!O10</f>
        <v>4648.5150237499929</v>
      </c>
      <c r="U12" s="121">
        <f>liability!U11+'RCA liab'!P10</f>
        <v>2703.1025237499944</v>
      </c>
      <c r="V12" s="226">
        <f>liability!V11+'RCA liab'!Q10</f>
        <v>315.45439874999471</v>
      </c>
      <c r="W12" s="121">
        <f>liability!W11+'RCA liab'!R10</f>
        <v>763.58207546427911</v>
      </c>
      <c r="X12" s="121">
        <f>liability!X11+'RCA liab'!S10</f>
        <v>-1660.329549035725</v>
      </c>
      <c r="Y12" s="121">
        <f>liability!Y11+'RCA liab'!T10</f>
        <v>-1243.414934524566</v>
      </c>
      <c r="Z12" s="121">
        <f>liability!Z11+'RCA liab'!U10</f>
        <v>1861.7704339754291</v>
      </c>
      <c r="AA12" s="121">
        <f>liability!AA11+'RCA liab'!V10</f>
        <v>4827.6877089754362</v>
      </c>
      <c r="AB12" s="344">
        <f>liability!AB11+'RCA liab'!W10</f>
        <v>9012.3937104754477</v>
      </c>
      <c r="AC12" s="79">
        <f>liability!AC11+'RCA liab'!X10</f>
        <v>11519.763852744069</v>
      </c>
      <c r="AD12" s="79">
        <f>liability!AD11+'RCA liab'!Y10</f>
        <v>13024.011657052146</v>
      </c>
      <c r="AE12" s="79">
        <f>liability!AE11+'RCA liab'!Z10</f>
        <v>13783.992782937257</v>
      </c>
      <c r="AF12" s="240">
        <f>liability!AF11+'RCA liab'!AA10</f>
        <v>13670.860923949494</v>
      </c>
    </row>
    <row r="13" spans="1:32" s="121" customFormat="1" x14ac:dyDescent="0.2">
      <c r="A13" s="3" t="s">
        <v>203</v>
      </c>
      <c r="B13" s="3" t="s">
        <v>282</v>
      </c>
      <c r="C13" s="3">
        <f>liability!C12</f>
        <v>446.5</v>
      </c>
      <c r="D13" s="3">
        <f>liability!D12</f>
        <v>472.31750000000011</v>
      </c>
      <c r="E13" s="3">
        <f>liability!E12</f>
        <v>590.31750000000011</v>
      </c>
      <c r="F13" s="3">
        <f>liability!F12</f>
        <v>721.31750000000011</v>
      </c>
      <c r="G13" s="3">
        <f>liability!G12</f>
        <v>404.81750000000193</v>
      </c>
      <c r="H13" s="3">
        <f>liability!H12</f>
        <v>401.31750000000284</v>
      </c>
      <c r="I13" s="3">
        <f>liability!I12</f>
        <v>351.31750000000056</v>
      </c>
      <c r="J13" s="3">
        <f>liability!J12</f>
        <v>338.31749999999943</v>
      </c>
      <c r="K13" s="3">
        <f>liability!K12</f>
        <v>351.81750000000102</v>
      </c>
      <c r="L13" s="3">
        <f>liability!L12</f>
        <v>410.31750000000011</v>
      </c>
      <c r="M13" s="3">
        <f>liability!M12</f>
        <v>421.31750000000306</v>
      </c>
      <c r="N13" s="3">
        <f>liability!N12</f>
        <v>435.80031500000382</v>
      </c>
      <c r="O13" s="3">
        <f>liability!O12</f>
        <v>449.1789020000042</v>
      </c>
      <c r="P13" s="3">
        <f>liability!P12</f>
        <v>472.2073145000038</v>
      </c>
      <c r="Q13" s="121">
        <f>liability!Q12</f>
        <v>497.13549750000516</v>
      </c>
      <c r="R13" s="121">
        <f>liability!R12</f>
        <v>522.53073100000802</v>
      </c>
      <c r="S13" s="121">
        <f>liability!S12</f>
        <v>529.45758061765332</v>
      </c>
      <c r="T13" s="121">
        <f>liability!T12</f>
        <v>649.83554023529905</v>
      </c>
      <c r="U13" s="121">
        <f>liability!U12</f>
        <v>687.3208343529484</v>
      </c>
      <c r="V13" s="226">
        <f>liability!V12</f>
        <v>763.52104947059343</v>
      </c>
      <c r="W13" s="121">
        <f>liability!W12</f>
        <v>773.87541058824002</v>
      </c>
      <c r="X13" s="121">
        <f>liability!X12</f>
        <v>799.45422620588795</v>
      </c>
      <c r="Y13" s="121">
        <f>liability!Y12</f>
        <v>825.91103732353861</v>
      </c>
      <c r="Z13" s="121">
        <f>liability!Z12</f>
        <v>853.01835694118824</v>
      </c>
      <c r="AA13" s="121">
        <f>liability!AA12</f>
        <v>881.60331555883761</v>
      </c>
      <c r="AB13" s="344">
        <f>liability!AB12</f>
        <v>895.46956602647913</v>
      </c>
      <c r="AC13" s="79">
        <f>liability!AC12</f>
        <v>910.37871949425119</v>
      </c>
      <c r="AD13" s="79">
        <f>liability!AD12</f>
        <v>924.64029045566429</v>
      </c>
      <c r="AE13" s="79">
        <f>liability!AE12</f>
        <v>938.31987110463797</v>
      </c>
      <c r="AF13" s="240">
        <f>liability!AF12</f>
        <v>951.39729337327958</v>
      </c>
    </row>
    <row r="14" spans="1:32" s="121" customFormat="1" x14ac:dyDescent="0.2">
      <c r="A14" s="3" t="s">
        <v>199</v>
      </c>
      <c r="B14" s="3" t="s">
        <v>282</v>
      </c>
      <c r="C14" s="55" t="str">
        <f>liability!C14</f>
        <v>n/a</v>
      </c>
      <c r="D14" s="55" t="str">
        <f>liability!D14</f>
        <v>n/a</v>
      </c>
      <c r="E14" s="55" t="str">
        <f>liability!E14</f>
        <v>n/a</v>
      </c>
      <c r="F14" s="55" t="str">
        <f>liability!F14</f>
        <v>n/a</v>
      </c>
      <c r="G14" s="55">
        <f>liability!G14</f>
        <v>35</v>
      </c>
      <c r="H14" s="55">
        <f>liability!H14</f>
        <v>39.5</v>
      </c>
      <c r="I14" s="55">
        <f>liability!I14</f>
        <v>30.5</v>
      </c>
      <c r="J14" s="55">
        <f>liability!J14</f>
        <v>34</v>
      </c>
      <c r="K14" s="55">
        <f>liability!K14</f>
        <v>26.5</v>
      </c>
      <c r="L14" s="55">
        <f>liability!L14</f>
        <v>22</v>
      </c>
      <c r="M14" s="55">
        <f>liability!M14</f>
        <v>20.5</v>
      </c>
      <c r="N14" s="55">
        <f>liability!N14</f>
        <v>22</v>
      </c>
      <c r="O14" s="55">
        <f>liability!O14</f>
        <v>27</v>
      </c>
      <c r="P14" s="55">
        <f>liability!P14</f>
        <v>21.5</v>
      </c>
      <c r="Q14" s="144">
        <f>liability!Q14</f>
        <v>20</v>
      </c>
      <c r="R14" s="144">
        <f>liability!R14</f>
        <v>18</v>
      </c>
      <c r="S14" s="144">
        <f>liability!S14</f>
        <v>17</v>
      </c>
      <c r="T14" s="144">
        <f>liability!T14</f>
        <v>15.5</v>
      </c>
      <c r="U14" s="144">
        <f>liability!U14</f>
        <v>23.5</v>
      </c>
      <c r="V14" s="227">
        <f>liability!V14</f>
        <v>28.990893499999999</v>
      </c>
      <c r="W14" s="144">
        <f>liability!W14</f>
        <v>29.2927505</v>
      </c>
      <c r="X14" s="144">
        <f>liability!X14</f>
        <v>19.860441999999999</v>
      </c>
      <c r="Y14" s="144">
        <f>liability!Y14</f>
        <v>19.6341185</v>
      </c>
      <c r="Z14" s="144">
        <f>liability!Z14</f>
        <v>18.951650000000001</v>
      </c>
      <c r="AA14" s="144">
        <f>liability!AA14</f>
        <v>18.367251499999998</v>
      </c>
      <c r="AB14" s="373">
        <f>liability!AB14</f>
        <v>19</v>
      </c>
      <c r="AC14" s="101">
        <f>liability!AC14</f>
        <v>21.682182705882354</v>
      </c>
      <c r="AD14" s="101">
        <f>liability!AD14</f>
        <v>21.682182705882354</v>
      </c>
      <c r="AE14" s="101">
        <f>liability!AE14</f>
        <v>21.682182705882354</v>
      </c>
      <c r="AF14" s="277">
        <f>liability!AF14</f>
        <v>21.682182705882354</v>
      </c>
    </row>
    <row r="15" spans="1:32" s="121" customFormat="1" x14ac:dyDescent="0.2">
      <c r="A15" s="3" t="s">
        <v>248</v>
      </c>
      <c r="B15" s="3" t="s">
        <v>282</v>
      </c>
      <c r="C15" s="3">
        <f>liability!C15</f>
        <v>0</v>
      </c>
      <c r="D15" s="3">
        <f>liability!D15</f>
        <v>0</v>
      </c>
      <c r="E15" s="3">
        <f>liability!E15</f>
        <v>0</v>
      </c>
      <c r="F15" s="3">
        <f>liability!F15</f>
        <v>2264</v>
      </c>
      <c r="G15" s="3">
        <f>liability!G15</f>
        <v>2090</v>
      </c>
      <c r="H15" s="3">
        <f>liability!H15</f>
        <v>1916</v>
      </c>
      <c r="I15" s="3">
        <f>liability!I15</f>
        <v>1742</v>
      </c>
      <c r="J15" s="3">
        <f>liability!J15</f>
        <v>1568</v>
      </c>
      <c r="K15" s="3">
        <f>liability!K15</f>
        <v>1394</v>
      </c>
      <c r="L15" s="3">
        <f>liability!L15</f>
        <v>1220</v>
      </c>
      <c r="M15" s="3">
        <f>liability!M15</f>
        <v>1046</v>
      </c>
      <c r="N15" s="3">
        <f>liability!N15</f>
        <v>871</v>
      </c>
      <c r="O15" s="3">
        <f>liability!O15</f>
        <v>698</v>
      </c>
      <c r="P15" s="3">
        <f>liability!P15</f>
        <v>524</v>
      </c>
      <c r="Q15" s="121">
        <f>liability!Q15</f>
        <v>350</v>
      </c>
      <c r="R15" s="121">
        <f>liability!R15</f>
        <v>176</v>
      </c>
      <c r="S15" s="121">
        <f>liability!S15</f>
        <v>0</v>
      </c>
      <c r="T15" s="121">
        <f>liability!T15</f>
        <v>0</v>
      </c>
      <c r="U15" s="121">
        <f>liability!U15</f>
        <v>0</v>
      </c>
      <c r="V15" s="226">
        <f>liability!V15</f>
        <v>0</v>
      </c>
      <c r="W15" s="121">
        <f>liability!W15</f>
        <v>0</v>
      </c>
      <c r="X15" s="121">
        <f>liability!X15</f>
        <v>0</v>
      </c>
      <c r="Y15" s="121">
        <f>liability!Y15</f>
        <v>0</v>
      </c>
      <c r="Z15" s="121">
        <f>liability!Z15</f>
        <v>0</v>
      </c>
      <c r="AA15" s="121">
        <f>liability!AA15</f>
        <v>0</v>
      </c>
      <c r="AB15" s="344">
        <f>liability!AB15</f>
        <v>0</v>
      </c>
      <c r="AC15" s="79">
        <f>liability!AC15</f>
        <v>0</v>
      </c>
      <c r="AD15" s="79">
        <f>liability!AD15</f>
        <v>0</v>
      </c>
      <c r="AE15" s="79">
        <f>liability!AE15</f>
        <v>0</v>
      </c>
      <c r="AF15" s="240">
        <f>liability!AF15</f>
        <v>0</v>
      </c>
    </row>
    <row r="16" spans="1:32" s="121" customFormat="1" x14ac:dyDescent="0.2">
      <c r="A16" s="3" t="s">
        <v>249</v>
      </c>
      <c r="B16" s="3" t="s">
        <v>282</v>
      </c>
      <c r="C16" s="24" t="str">
        <f>liability!C16</f>
        <v>n/a</v>
      </c>
      <c r="D16" s="24" t="str">
        <f>liability!D16</f>
        <v>n/a</v>
      </c>
      <c r="E16" s="24" t="str">
        <f>liability!E16</f>
        <v>n/a</v>
      </c>
      <c r="F16" s="24">
        <f>liability!F16</f>
        <v>118.5</v>
      </c>
      <c r="G16" s="24">
        <f>liability!G16</f>
        <v>179</v>
      </c>
      <c r="H16" s="24">
        <f>liability!H16</f>
        <v>136</v>
      </c>
      <c r="I16" s="24">
        <f>liability!I16</f>
        <v>-18.5</v>
      </c>
      <c r="J16" s="24">
        <f>liability!J16</f>
        <v>-271.5</v>
      </c>
      <c r="K16" s="24">
        <f>liability!K16</f>
        <v>-479.5</v>
      </c>
      <c r="L16" s="24">
        <f>liability!L16</f>
        <v>-459.5</v>
      </c>
      <c r="M16" s="24">
        <f>liability!M16</f>
        <v>-425</v>
      </c>
      <c r="N16" s="24">
        <f>liability!N16</f>
        <v>-385.51718499999993</v>
      </c>
      <c r="O16" s="24">
        <f>liability!O16</f>
        <v>-342.138598</v>
      </c>
      <c r="P16" s="24">
        <f>liability!P16</f>
        <v>-289.1101855</v>
      </c>
      <c r="Q16" s="131">
        <f>liability!Q16</f>
        <v>-234.68200250000001</v>
      </c>
      <c r="R16" s="131">
        <f>liability!R16</f>
        <v>-173.78676899999999</v>
      </c>
      <c r="S16" s="131">
        <f>liability!S16</f>
        <v>-130.8452135</v>
      </c>
      <c r="T16" s="131">
        <f>liability!T16</f>
        <v>38.547452000000021</v>
      </c>
      <c r="U16" s="131">
        <f>liability!U16</f>
        <v>112.54745200000002</v>
      </c>
      <c r="V16" s="228">
        <f>liability!V16</f>
        <v>177.26237300000003</v>
      </c>
      <c r="W16" s="131">
        <f>liability!W16</f>
        <v>190.22886857142856</v>
      </c>
      <c r="X16" s="131">
        <f>liability!X16</f>
        <v>201.82239007142852</v>
      </c>
      <c r="Y16" s="131">
        <f>liability!Y16</f>
        <v>222.15202314285705</v>
      </c>
      <c r="Z16" s="131">
        <f>liability!Z16</f>
        <v>238.274048642857</v>
      </c>
      <c r="AA16" s="131">
        <f>liability!AA16</f>
        <v>255.87371314285701</v>
      </c>
      <c r="AB16" s="349">
        <f>liability!AB16</f>
        <v>254.25466949285703</v>
      </c>
      <c r="AC16" s="86">
        <f>liability!AC16</f>
        <v>247.6068075315182</v>
      </c>
      <c r="AD16" s="86">
        <f>liability!AD16</f>
        <v>241.74880494170486</v>
      </c>
      <c r="AE16" s="86">
        <f>liability!AE16</f>
        <v>234.62797737593644</v>
      </c>
      <c r="AF16" s="247">
        <f>liability!AF16</f>
        <v>227.2356006387343</v>
      </c>
    </row>
    <row r="17" spans="1:32" s="215" customFormat="1" ht="15.75" x14ac:dyDescent="0.25">
      <c r="A17" s="52" t="s">
        <v>205</v>
      </c>
      <c r="B17" s="9" t="s">
        <v>241</v>
      </c>
      <c r="C17" s="56">
        <f t="shared" ref="C17:Q17" si="0">SUM(C8:C16)</f>
        <v>2580</v>
      </c>
      <c r="D17" s="56">
        <f t="shared" si="0"/>
        <v>2585.0325000000003</v>
      </c>
      <c r="E17" s="56">
        <f t="shared" si="0"/>
        <v>2437.5287500000004</v>
      </c>
      <c r="F17" s="56">
        <f t="shared" si="0"/>
        <v>4833.5756249999986</v>
      </c>
      <c r="G17" s="587">
        <f t="shared" si="0"/>
        <v>4758.4693749999997</v>
      </c>
      <c r="H17" s="587">
        <f t="shared" si="0"/>
        <v>4568.6631250000028</v>
      </c>
      <c r="I17" s="587">
        <f t="shared" si="0"/>
        <v>4017.5006250000019</v>
      </c>
      <c r="J17" s="587">
        <f t="shared" si="0"/>
        <v>3350.3287500000006</v>
      </c>
      <c r="K17" s="587">
        <f t="shared" si="0"/>
        <v>2377.7181250000017</v>
      </c>
      <c r="L17" s="587">
        <f t="shared" si="0"/>
        <v>1557.8712499999974</v>
      </c>
      <c r="M17" s="587">
        <f t="shared" si="0"/>
        <v>521.53500000000008</v>
      </c>
      <c r="N17" s="587">
        <f t="shared" si="0"/>
        <v>-83.699869999999919</v>
      </c>
      <c r="O17" s="587">
        <f t="shared" si="0"/>
        <v>-521.70229725000127</v>
      </c>
      <c r="P17" s="587">
        <f t="shared" si="0"/>
        <v>-972.76247224999997</v>
      </c>
      <c r="Q17" s="588">
        <f t="shared" si="0"/>
        <v>-1443.3711062500024</v>
      </c>
      <c r="R17" s="588">
        <f t="shared" ref="R17:AD17" si="1">SUM(R8:R16)</f>
        <v>-1891.1346392499961</v>
      </c>
      <c r="S17" s="588">
        <f t="shared" si="1"/>
        <v>-2342.4412341323532</v>
      </c>
      <c r="T17" s="588">
        <f t="shared" si="1"/>
        <v>-2810.8904840147106</v>
      </c>
      <c r="U17" s="588">
        <f t="shared" si="1"/>
        <v>-3834.3891898970578</v>
      </c>
      <c r="V17" s="588">
        <f t="shared" si="1"/>
        <v>-4825.633785279415</v>
      </c>
      <c r="W17" s="588">
        <f t="shared" si="1"/>
        <v>-5623.2053948760558</v>
      </c>
      <c r="X17" s="588">
        <f>SUM(X8:X16)</f>
        <v>-6446.9709907584092</v>
      </c>
      <c r="Y17" s="588">
        <f t="shared" si="1"/>
        <v>-6949.3017555581728</v>
      </c>
      <c r="Z17" s="588">
        <f t="shared" si="1"/>
        <v>-7539.6680104405277</v>
      </c>
      <c r="AA17" s="588">
        <f t="shared" si="1"/>
        <v>-8502.0190108228762</v>
      </c>
      <c r="AB17" s="590">
        <f t="shared" si="1"/>
        <v>-9992.4450540052112</v>
      </c>
      <c r="AC17" s="102">
        <f t="shared" si="1"/>
        <v>-12115.232256178666</v>
      </c>
      <c r="AD17" s="102">
        <f t="shared" si="1"/>
        <v>-14673.812288807983</v>
      </c>
      <c r="AE17" s="102">
        <f t="shared" ref="AE17:AF17" si="2">SUM(AE8:AE16)</f>
        <v>-17584.546640688372</v>
      </c>
      <c r="AF17" s="278">
        <f t="shared" si="2"/>
        <v>-20799.608472904303</v>
      </c>
    </row>
    <row r="18" spans="1:32" s="215" customFormat="1" ht="15.75" x14ac:dyDescent="0.25">
      <c r="A18" s="52" t="s">
        <v>477</v>
      </c>
      <c r="B18" s="9"/>
      <c r="C18" s="71"/>
      <c r="D18" s="71"/>
      <c r="E18" s="71"/>
      <c r="F18" s="71"/>
      <c r="G18" s="71">
        <f>liability!G18</f>
        <v>0</v>
      </c>
      <c r="H18" s="71">
        <f>liability!H18</f>
        <v>0</v>
      </c>
      <c r="I18" s="71">
        <f>liability!I18</f>
        <v>0</v>
      </c>
      <c r="J18" s="71">
        <f>liability!J18</f>
        <v>0</v>
      </c>
      <c r="K18" s="71">
        <f>liability!K18</f>
        <v>0</v>
      </c>
      <c r="L18" s="71">
        <f>liability!L18</f>
        <v>0</v>
      </c>
      <c r="M18" s="71">
        <f>liability!M18</f>
        <v>0</v>
      </c>
      <c r="N18" s="71">
        <f>liability!N18</f>
        <v>336.35936999999967</v>
      </c>
      <c r="O18" s="71">
        <f>liability!O18</f>
        <v>0</v>
      </c>
      <c r="P18" s="71">
        <f>liability!P18</f>
        <v>1233.2653710000009</v>
      </c>
      <c r="Q18" s="71">
        <f>liability!Q18</f>
        <v>1691.0215050000024</v>
      </c>
      <c r="R18" s="71">
        <f>liability!R18</f>
        <v>2125.956037999998</v>
      </c>
      <c r="S18" s="71">
        <f>liability!S18</f>
        <v>2561.812632882351</v>
      </c>
      <c r="T18" s="71">
        <f>liability!T18</f>
        <v>3016.2163827647082</v>
      </c>
      <c r="U18" s="71">
        <f>liability!U18</f>
        <v>0</v>
      </c>
      <c r="V18" s="71">
        <f>liability!V18</f>
        <v>0</v>
      </c>
      <c r="W18" s="71">
        <f>liability!W18</f>
        <v>3243.1029703403319</v>
      </c>
      <c r="X18" s="71">
        <f>liability!X18</f>
        <v>5681.8629417226839</v>
      </c>
      <c r="Y18" s="71">
        <f>liability!Y18</f>
        <v>7123.8321543081702</v>
      </c>
      <c r="Z18" s="71">
        <f>liability!Z18</f>
        <v>7710.5999091905251</v>
      </c>
      <c r="AA18" s="71">
        <f>liability!AA18</f>
        <v>8667.0824095728694</v>
      </c>
      <c r="AB18" s="71">
        <f>liability!AB18</f>
        <v>10146.996452755217</v>
      </c>
      <c r="AC18" s="71">
        <f>liability!AC18</f>
        <v>12270.54140867866</v>
      </c>
      <c r="AD18" s="71">
        <f>liability!AD18</f>
        <v>14828.832650718925</v>
      </c>
      <c r="AE18" s="71">
        <f>liability!AE18</f>
        <v>17739.728708798732</v>
      </c>
      <c r="AF18" s="71">
        <f>liability!AF18</f>
        <v>20955.899667972204</v>
      </c>
    </row>
    <row r="19" spans="1:32" s="215" customFormat="1" ht="18.75" thickBot="1" x14ac:dyDescent="0.3">
      <c r="A19" s="591" t="s">
        <v>479</v>
      </c>
      <c r="B19" s="642"/>
      <c r="C19" s="54"/>
      <c r="D19" s="54"/>
      <c r="E19" s="54"/>
      <c r="F19" s="54"/>
      <c r="G19" s="54">
        <f>SUM(G17:G18)</f>
        <v>4758.4693749999997</v>
      </c>
      <c r="H19" s="54">
        <f t="shared" ref="H19:AA19" si="3">SUM(H17:H18)</f>
        <v>4568.6631250000028</v>
      </c>
      <c r="I19" s="54">
        <f t="shared" si="3"/>
        <v>4017.5006250000019</v>
      </c>
      <c r="J19" s="54">
        <f t="shared" si="3"/>
        <v>3350.3287500000006</v>
      </c>
      <c r="K19" s="54">
        <f t="shared" si="3"/>
        <v>2377.7181250000017</v>
      </c>
      <c r="L19" s="54">
        <f t="shared" si="3"/>
        <v>1557.8712499999974</v>
      </c>
      <c r="M19" s="54">
        <f t="shared" si="3"/>
        <v>521.53500000000008</v>
      </c>
      <c r="N19" s="54">
        <f t="shared" si="3"/>
        <v>252.65949999999975</v>
      </c>
      <c r="O19" s="54">
        <f t="shared" si="3"/>
        <v>-521.70229725000127</v>
      </c>
      <c r="P19" s="54">
        <f t="shared" si="3"/>
        <v>260.5028987500009</v>
      </c>
      <c r="Q19" s="54">
        <f t="shared" si="3"/>
        <v>247.65039875000002</v>
      </c>
      <c r="R19" s="54">
        <f t="shared" si="3"/>
        <v>234.82139875000189</v>
      </c>
      <c r="S19" s="54">
        <f t="shared" si="3"/>
        <v>219.37139874999775</v>
      </c>
      <c r="T19" s="54">
        <f t="shared" si="3"/>
        <v>205.32589874999758</v>
      </c>
      <c r="U19" s="54">
        <f t="shared" si="3"/>
        <v>-3834.3891898970578</v>
      </c>
      <c r="V19" s="54">
        <f t="shared" si="3"/>
        <v>-4825.633785279415</v>
      </c>
      <c r="W19" s="54">
        <f t="shared" si="3"/>
        <v>-2380.1024245357239</v>
      </c>
      <c r="X19" s="54">
        <f t="shared" si="3"/>
        <v>-765.10804903572534</v>
      </c>
      <c r="Y19" s="54">
        <f t="shared" si="3"/>
        <v>174.5303987499974</v>
      </c>
      <c r="Z19" s="54">
        <f t="shared" si="3"/>
        <v>170.93189874999734</v>
      </c>
      <c r="AA19" s="54">
        <f t="shared" si="3"/>
        <v>165.06339874999321</v>
      </c>
      <c r="AB19" s="54">
        <f>SUM(AB17:AB18)</f>
        <v>154.55139875000532</v>
      </c>
      <c r="AC19" s="54">
        <f t="shared" ref="AC19:AF19" si="4">SUM(AC17:AC18)</f>
        <v>155.30915249999452</v>
      </c>
      <c r="AD19" s="54">
        <f t="shared" si="4"/>
        <v>155.02036191094157</v>
      </c>
      <c r="AE19" s="54">
        <f t="shared" si="4"/>
        <v>155.18206811035998</v>
      </c>
      <c r="AF19" s="54">
        <f t="shared" si="4"/>
        <v>156.29119506790084</v>
      </c>
    </row>
    <row r="20" spans="1:32" s="215" customFormat="1" ht="18.75" hidden="1" outlineLevel="1" thickTop="1" x14ac:dyDescent="0.25">
      <c r="A20" s="641"/>
      <c r="B20" s="9"/>
      <c r="C20" s="71"/>
      <c r="D20" s="71"/>
      <c r="E20" s="71"/>
      <c r="F20" s="71"/>
      <c r="G20" s="71"/>
      <c r="H20" s="71"/>
      <c r="I20" s="71"/>
      <c r="J20" s="71"/>
      <c r="K20" s="71"/>
      <c r="L20" s="71"/>
      <c r="M20" s="71"/>
      <c r="N20" s="71"/>
      <c r="O20" s="71"/>
      <c r="P20" s="71"/>
      <c r="Q20" s="154"/>
      <c r="R20" s="643">
        <f t="shared" ref="R20:AF20" si="5">R17*1000000</f>
        <v>-1891134639.2499962</v>
      </c>
      <c r="S20" s="643">
        <f t="shared" si="5"/>
        <v>-2342441234.1323533</v>
      </c>
      <c r="T20" s="643">
        <f t="shared" si="5"/>
        <v>-2810890484.0147104</v>
      </c>
      <c r="U20" s="643">
        <f t="shared" si="5"/>
        <v>-3834389189.897058</v>
      </c>
      <c r="V20" s="643">
        <f t="shared" si="5"/>
        <v>-4825633785.2794151</v>
      </c>
      <c r="W20" s="643">
        <f t="shared" si="5"/>
        <v>-5623205394.8760557</v>
      </c>
      <c r="X20" s="643">
        <f t="shared" si="5"/>
        <v>-6446970990.7584095</v>
      </c>
      <c r="Y20" s="643">
        <f t="shared" si="5"/>
        <v>-6949301755.5581732</v>
      </c>
      <c r="Z20" s="301">
        <f t="shared" si="5"/>
        <v>-7539668010.4405279</v>
      </c>
      <c r="AA20" s="301">
        <f t="shared" si="5"/>
        <v>-8502019010.822876</v>
      </c>
      <c r="AB20" s="644">
        <f t="shared" si="5"/>
        <v>-9992445054.0052109</v>
      </c>
      <c r="AC20" s="315">
        <f t="shared" si="5"/>
        <v>-12115232256.178665</v>
      </c>
      <c r="AD20" s="315">
        <f t="shared" si="5"/>
        <v>-14673812288.807983</v>
      </c>
      <c r="AE20" s="315">
        <f t="shared" si="5"/>
        <v>-17584546640.68837</v>
      </c>
      <c r="AF20" s="315">
        <f t="shared" si="5"/>
        <v>-20799608472.904305</v>
      </c>
    </row>
    <row r="21" spans="1:32" s="215" customFormat="1" ht="18.75" collapsed="1" thickTop="1" x14ac:dyDescent="0.25">
      <c r="A21" s="641"/>
      <c r="B21" s="9"/>
      <c r="C21" s="71"/>
      <c r="D21" s="71"/>
      <c r="E21" s="71"/>
      <c r="F21" s="71"/>
      <c r="G21" s="71"/>
      <c r="H21" s="71"/>
      <c r="I21" s="71"/>
      <c r="J21" s="71"/>
      <c r="K21" s="71"/>
      <c r="L21" s="71"/>
      <c r="M21" s="71"/>
      <c r="N21" s="71"/>
      <c r="O21" s="71"/>
      <c r="P21" s="71"/>
      <c r="Q21" s="154"/>
      <c r="R21" s="643">
        <f>R19*1000000</f>
        <v>234821398.75000188</v>
      </c>
      <c r="S21" s="643">
        <f t="shared" ref="S21:AB21" si="6">S19*1000000</f>
        <v>219371398.74999776</v>
      </c>
      <c r="T21" s="643">
        <f t="shared" si="6"/>
        <v>205325898.74999759</v>
      </c>
      <c r="U21" s="643">
        <f t="shared" si="6"/>
        <v>-3834389189.897058</v>
      </c>
      <c r="V21" s="643">
        <f t="shared" si="6"/>
        <v>-4825633785.2794151</v>
      </c>
      <c r="W21" s="643">
        <f t="shared" si="6"/>
        <v>-2380102424.5357237</v>
      </c>
      <c r="X21" s="643">
        <f t="shared" si="6"/>
        <v>-765108049.03572536</v>
      </c>
      <c r="Y21" s="643">
        <f t="shared" si="6"/>
        <v>174530398.74999741</v>
      </c>
      <c r="Z21" s="301">
        <f t="shared" si="6"/>
        <v>170931898.74999735</v>
      </c>
      <c r="AA21" s="301">
        <f t="shared" si="6"/>
        <v>165063398.74999321</v>
      </c>
      <c r="AB21" s="644">
        <f t="shared" si="6"/>
        <v>154551398.7500053</v>
      </c>
      <c r="AC21" s="315"/>
      <c r="AD21" s="315"/>
      <c r="AE21" s="315"/>
      <c r="AF21" s="315"/>
    </row>
    <row r="22" spans="1:32" s="146" customFormat="1" x14ac:dyDescent="0.2">
      <c r="A22" s="9"/>
      <c r="B22" s="9"/>
      <c r="C22" s="9"/>
      <c r="D22" s="9"/>
      <c r="E22" s="9"/>
      <c r="F22" s="9"/>
      <c r="G22" s="9"/>
      <c r="H22" s="9"/>
      <c r="I22" s="9"/>
      <c r="J22" s="9"/>
      <c r="K22" s="9"/>
      <c r="L22" s="9"/>
      <c r="M22" s="9"/>
      <c r="N22" s="9"/>
      <c r="O22" s="9"/>
      <c r="P22" s="9"/>
      <c r="AA22" s="301"/>
      <c r="AB22" s="343"/>
      <c r="AC22" s="103"/>
      <c r="AD22" s="103"/>
      <c r="AE22" s="103"/>
      <c r="AF22" s="266"/>
    </row>
    <row r="23" spans="1:32" s="146" customFormat="1" x14ac:dyDescent="0.2">
      <c r="A23" s="12" t="s">
        <v>255</v>
      </c>
      <c r="B23" s="9"/>
      <c r="C23" s="9"/>
      <c r="D23" s="9"/>
      <c r="E23" s="9"/>
      <c r="F23" s="9"/>
      <c r="G23" s="9"/>
      <c r="H23" s="9"/>
      <c r="I23" s="9"/>
      <c r="J23" s="9"/>
      <c r="K23" s="9"/>
      <c r="L23" s="9"/>
      <c r="M23" s="9"/>
      <c r="N23" s="9"/>
      <c r="O23" s="9"/>
      <c r="P23" s="9"/>
      <c r="AB23" s="343"/>
      <c r="AC23" s="103"/>
      <c r="AD23" s="103"/>
      <c r="AE23" s="103"/>
      <c r="AF23" s="266"/>
    </row>
    <row r="24" spans="1:32" s="146" customFormat="1" x14ac:dyDescent="0.2">
      <c r="A24" s="9" t="s">
        <v>252</v>
      </c>
      <c r="B24" s="9" t="s">
        <v>66</v>
      </c>
      <c r="C24" s="9"/>
      <c r="D24" s="9"/>
      <c r="E24" s="9"/>
      <c r="F24" s="9"/>
      <c r="G24" s="9">
        <f>+F17</f>
        <v>4833.5756249999986</v>
      </c>
      <c r="H24" s="9">
        <f>G19</f>
        <v>4758.4693749999997</v>
      </c>
      <c r="I24" s="9">
        <f t="shared" ref="I24:AB24" si="7">H19</f>
        <v>4568.6631250000028</v>
      </c>
      <c r="J24" s="9">
        <f t="shared" si="7"/>
        <v>4017.5006250000019</v>
      </c>
      <c r="K24" s="9">
        <f t="shared" si="7"/>
        <v>3350.3287500000006</v>
      </c>
      <c r="L24" s="9">
        <f t="shared" si="7"/>
        <v>2377.7181250000017</v>
      </c>
      <c r="M24" s="9">
        <f t="shared" si="7"/>
        <v>1557.8712499999974</v>
      </c>
      <c r="N24" s="9">
        <f t="shared" si="7"/>
        <v>521.53500000000008</v>
      </c>
      <c r="O24" s="9">
        <f t="shared" si="7"/>
        <v>252.65949999999975</v>
      </c>
      <c r="P24" s="9">
        <f t="shared" si="7"/>
        <v>-521.70229725000127</v>
      </c>
      <c r="Q24" s="9">
        <f t="shared" si="7"/>
        <v>260.5028987500009</v>
      </c>
      <c r="R24" s="9">
        <f t="shared" si="7"/>
        <v>247.65039875000002</v>
      </c>
      <c r="S24" s="9">
        <f t="shared" si="7"/>
        <v>234.82139875000189</v>
      </c>
      <c r="T24" s="9">
        <f t="shared" si="7"/>
        <v>219.37139874999775</v>
      </c>
      <c r="U24" s="9">
        <f t="shared" si="7"/>
        <v>205.32589874999758</v>
      </c>
      <c r="V24" s="9">
        <f t="shared" si="7"/>
        <v>-3834.3891898970578</v>
      </c>
      <c r="W24" s="9">
        <f t="shared" si="7"/>
        <v>-4825.633785279415</v>
      </c>
      <c r="X24" s="9">
        <f t="shared" si="7"/>
        <v>-2380.1024245357239</v>
      </c>
      <c r="Y24" s="9">
        <f t="shared" si="7"/>
        <v>-765.10804903572534</v>
      </c>
      <c r="Z24" s="9">
        <f t="shared" si="7"/>
        <v>174.5303987499974</v>
      </c>
      <c r="AA24" s="9">
        <f t="shared" si="7"/>
        <v>170.93189874999734</v>
      </c>
      <c r="AB24" s="9">
        <f t="shared" si="7"/>
        <v>165.06339874999321</v>
      </c>
      <c r="AC24" s="103">
        <f t="shared" ref="AC24:AF24" si="8">AB19</f>
        <v>154.55139875000532</v>
      </c>
      <c r="AD24" s="103">
        <f t="shared" si="8"/>
        <v>155.30915249999452</v>
      </c>
      <c r="AE24" s="103">
        <f t="shared" si="8"/>
        <v>155.02036191094157</v>
      </c>
      <c r="AF24" s="266">
        <f t="shared" si="8"/>
        <v>155.18206811035998</v>
      </c>
    </row>
    <row r="25" spans="1:32" s="146" customFormat="1" x14ac:dyDescent="0.2">
      <c r="A25" s="9" t="s">
        <v>211</v>
      </c>
      <c r="B25" s="9" t="s">
        <v>283</v>
      </c>
      <c r="C25" s="9"/>
      <c r="D25" s="9"/>
      <c r="E25" s="9"/>
      <c r="F25" s="9"/>
      <c r="G25" s="9">
        <f>G45</f>
        <v>490.89374999999995</v>
      </c>
      <c r="H25" s="9">
        <f t="shared" ref="H25:N25" si="9">H45</f>
        <v>496.19374999999991</v>
      </c>
      <c r="I25" s="9">
        <f t="shared" si="9"/>
        <v>374.83750000000009</v>
      </c>
      <c r="J25" s="9">
        <f t="shared" si="9"/>
        <v>464.828125</v>
      </c>
      <c r="K25" s="9">
        <f t="shared" si="9"/>
        <v>136.38937499999997</v>
      </c>
      <c r="L25" s="9">
        <f t="shared" si="9"/>
        <v>-152.8468750000001</v>
      </c>
      <c r="M25" s="9">
        <f t="shared" si="9"/>
        <v>-401.5474999999999</v>
      </c>
      <c r="N25" s="9">
        <f t="shared" si="9"/>
        <v>378.87011999999959</v>
      </c>
      <c r="O25" s="9">
        <f t="shared" ref="O25:U25" si="10">O45</f>
        <v>-98.118971249999618</v>
      </c>
      <c r="P25" s="9">
        <f t="shared" si="10"/>
        <v>1468.0397658750005</v>
      </c>
      <c r="Q25" s="146">
        <f t="shared" si="10"/>
        <v>697.48045556250145</v>
      </c>
      <c r="R25" s="146">
        <f t="shared" si="10"/>
        <v>729.72744149999517</v>
      </c>
      <c r="S25" s="146">
        <f t="shared" si="10"/>
        <v>781.27837850000014</v>
      </c>
      <c r="T25" s="146">
        <f t="shared" si="10"/>
        <v>796.31652162500427</v>
      </c>
      <c r="U25" s="146">
        <f t="shared" si="10"/>
        <v>-2966.2344436470612</v>
      </c>
      <c r="V25" s="146">
        <f t="shared" ref="V25:AA25" si="11">V45</f>
        <v>255.10110261764743</v>
      </c>
      <c r="W25" s="146">
        <f t="shared" si="11"/>
        <v>3764.9746864936928</v>
      </c>
      <c r="X25" s="146">
        <f t="shared" si="11"/>
        <v>2961.3371436874995</v>
      </c>
      <c r="Y25" s="146">
        <f>Y45</f>
        <v>2336.6552000357228</v>
      </c>
      <c r="Z25" s="146">
        <f t="shared" si="11"/>
        <v>1464.741411500002</v>
      </c>
      <c r="AA25" s="146">
        <f t="shared" si="11"/>
        <v>1524.1712892499913</v>
      </c>
      <c r="AB25" s="343">
        <f>AB45</f>
        <v>1593.0968360499937</v>
      </c>
      <c r="AC25" s="103">
        <f t="shared" ref="AC25:AF25" si="12">AC45</f>
        <v>-452.65816598285755</v>
      </c>
      <c r="AD25" s="103">
        <f t="shared" si="12"/>
        <v>-819.83476177699049</v>
      </c>
      <c r="AE25" s="103">
        <f t="shared" si="12"/>
        <v>-1110.3006855079802</v>
      </c>
      <c r="AF25" s="266">
        <f t="shared" si="12"/>
        <v>-1350.801660794222</v>
      </c>
    </row>
    <row r="26" spans="1:32" s="146" customFormat="1" x14ac:dyDescent="0.2">
      <c r="A26" s="296" t="s">
        <v>501</v>
      </c>
      <c r="B26" s="9"/>
      <c r="C26" s="9"/>
      <c r="D26" s="9"/>
      <c r="E26" s="9"/>
      <c r="F26" s="9"/>
      <c r="G26" s="9">
        <f>liability!G27</f>
        <v>0</v>
      </c>
      <c r="H26" s="9">
        <f>liability!H27</f>
        <v>0</v>
      </c>
      <c r="I26" s="9">
        <f>liability!I27</f>
        <v>0</v>
      </c>
      <c r="J26" s="9">
        <f>liability!J27</f>
        <v>0</v>
      </c>
      <c r="K26" s="9">
        <f>liability!K27</f>
        <v>0</v>
      </c>
      <c r="L26" s="9">
        <f>liability!L27</f>
        <v>0</v>
      </c>
      <c r="M26" s="9">
        <f>liability!M27</f>
        <v>0</v>
      </c>
      <c r="N26" s="9">
        <f>liability!N27</f>
        <v>336.35936999999967</v>
      </c>
      <c r="O26" s="9">
        <f>liability!O27</f>
        <v>-336.35936999999967</v>
      </c>
      <c r="P26" s="9">
        <f>liability!P27</f>
        <v>1233.2653710000009</v>
      </c>
      <c r="Q26" s="9">
        <f>liability!Q27</f>
        <v>457.75613400000157</v>
      </c>
      <c r="R26" s="9">
        <f>liability!R27</f>
        <v>434.93453299999555</v>
      </c>
      <c r="S26" s="9">
        <f>liability!S27</f>
        <v>435.85659488235297</v>
      </c>
      <c r="T26" s="9">
        <f>liability!T27</f>
        <v>454.40374988235726</v>
      </c>
      <c r="U26" s="9">
        <f>liability!U27</f>
        <v>-3016.2163827647082</v>
      </c>
      <c r="V26" s="9">
        <f>liability!V27</f>
        <v>0</v>
      </c>
      <c r="W26" s="9">
        <f>liability!W27</f>
        <v>3243.1029703403319</v>
      </c>
      <c r="X26" s="9">
        <f>liability!X27</f>
        <v>2438.759971382352</v>
      </c>
      <c r="Y26" s="9">
        <f>liability!Y27</f>
        <v>1441.9692125854863</v>
      </c>
      <c r="Z26" s="9">
        <f>liability!Z27</f>
        <v>586.76775488235489</v>
      </c>
      <c r="AA26" s="9">
        <f>liability!AA27</f>
        <v>956.48250038234437</v>
      </c>
      <c r="AB26" s="9">
        <f>liability!AB27</f>
        <v>1479.9140431823471</v>
      </c>
      <c r="AC26" s="103">
        <f>liability!AC27</f>
        <v>2123.5449559234439</v>
      </c>
      <c r="AD26" s="103">
        <f>liability!AD27</f>
        <v>2558.2912420402645</v>
      </c>
      <c r="AE26" s="103">
        <f>liability!AE27</f>
        <v>2910.8960580798066</v>
      </c>
      <c r="AF26" s="266">
        <f>liability!AF27</f>
        <v>3216.1709591734725</v>
      </c>
    </row>
    <row r="27" spans="1:32" s="146" customFormat="1" x14ac:dyDescent="0.2">
      <c r="A27" s="9" t="s">
        <v>251</v>
      </c>
      <c r="B27" s="9" t="s">
        <v>254</v>
      </c>
      <c r="C27" s="9"/>
      <c r="D27" s="9"/>
      <c r="E27" s="9"/>
      <c r="F27" s="9"/>
      <c r="G27" s="147">
        <f>'Data Input'!H46*-1</f>
        <v>-566</v>
      </c>
      <c r="H27" s="147">
        <f>'Data Input'!I46*-1-'RCA data'!C34</f>
        <v>-686</v>
      </c>
      <c r="I27" s="147">
        <f>'Data Input'!J46*-1-'RCA data'!D34</f>
        <v>-926</v>
      </c>
      <c r="J27" s="147">
        <f>'Data Input'!K46*-1-'RCA data'!E34</f>
        <v>-1132</v>
      </c>
      <c r="K27" s="147">
        <f>'Data Input'!L46*-1-'RCA data'!F34</f>
        <v>-1109</v>
      </c>
      <c r="L27" s="147">
        <f>'Data Input'!M46*-1-'RCA data'!G34</f>
        <v>-667</v>
      </c>
      <c r="M27" s="147">
        <f>'Data Input'!N46*-1-'RCA data'!H34</f>
        <v>-635</v>
      </c>
      <c r="N27" s="147">
        <f>'Data Input'!O46*-1-'RCA data'!I34</f>
        <v>-645.03436999999997</v>
      </c>
      <c r="O27" s="147">
        <f>'Data Input'!P46*-1-'RCA data'!J34</f>
        <v>-676.24282600000004</v>
      </c>
      <c r="P27" s="147">
        <f>'Data Input'!Q46*-1-'RCA data'!K34</f>
        <v>-684.943175</v>
      </c>
      <c r="Q27" s="147">
        <f>'Data Input'!R46*-1-'RCA data'!L34</f>
        <v>-709.86459278000007</v>
      </c>
      <c r="R27" s="147">
        <f>'Data Input'!S46*-1-'RCA data'!M34</f>
        <v>-741.48453299999994</v>
      </c>
      <c r="S27" s="147">
        <f>'Data Input'!T46*-1-'RCA data'!N34</f>
        <v>-797.03366590999997</v>
      </c>
      <c r="T27" s="147">
        <f>'Data Input'!U46*-1-'RCA data'!O34</f>
        <v>-808.96671099999992</v>
      </c>
      <c r="U27" s="147">
        <f>'Data Input'!V46*-1-'RCA data'!P34</f>
        <v>-1072.5734319999999</v>
      </c>
      <c r="V27" s="147">
        <f>'Data Input'!W46*-1-'RCA data'!Q34</f>
        <v>-1246.11346366</v>
      </c>
      <c r="W27" s="147">
        <f>'Data Input'!X46*-1-'RCA data'!R34</f>
        <v>-1318.4009160000001</v>
      </c>
      <c r="X27" s="147">
        <f>'Data Input'!Y46*-1-'RCA data'!S34</f>
        <v>-1346.195416</v>
      </c>
      <c r="Y27" s="147">
        <f>'Data Input'!Z46*-1-'RCA data'!T34</f>
        <v>-1395.52219311</v>
      </c>
      <c r="Z27" s="147">
        <f>'Data Input'!AA46*-1-'RCA data'!U34</f>
        <v>-1466.1618190000002</v>
      </c>
      <c r="AA27" s="147">
        <f>'Data Input'!AB46*-1-'RCA data'!V34</f>
        <v>-1530.930482</v>
      </c>
      <c r="AB27" s="375">
        <f>'Data Input'!AC46*-1-'RCA data'!W34</f>
        <v>-1600.9070463</v>
      </c>
      <c r="AC27" s="104">
        <f>'Data Input'!AD46*-1-'RCA data'!X34</f>
        <v>-1666.9120079905738</v>
      </c>
      <c r="AD27" s="104">
        <f>'Data Input'!AE46*-1-'RCA data'!Y34</f>
        <v>-1735.4365180831569</v>
      </c>
      <c r="AE27" s="104">
        <f>'Data Input'!AF46*-1-'RCA data'!Z34</f>
        <v>-1797.0289698082915</v>
      </c>
      <c r="AF27" s="279">
        <f>'Data Input'!AG46*-1-'RCA data'!AA34</f>
        <v>-1860.7551458725352</v>
      </c>
    </row>
    <row r="28" spans="1:32" s="119" customFormat="1" x14ac:dyDescent="0.2">
      <c r="A28" s="8" t="s">
        <v>253</v>
      </c>
      <c r="B28" s="8" t="s">
        <v>31</v>
      </c>
      <c r="C28" s="8"/>
      <c r="D28" s="8"/>
      <c r="E28" s="8"/>
      <c r="F28" s="8"/>
      <c r="G28" s="21">
        <f>SUM(G24:G27)</f>
        <v>4758.4693749999988</v>
      </c>
      <c r="H28" s="21">
        <f t="shared" ref="H28:Q28" si="13">SUM(H24:H27)</f>
        <v>4568.6631249999991</v>
      </c>
      <c r="I28" s="21">
        <f t="shared" si="13"/>
        <v>4017.5006250000024</v>
      </c>
      <c r="J28" s="21">
        <f t="shared" si="13"/>
        <v>3350.3287500000024</v>
      </c>
      <c r="K28" s="21">
        <f t="shared" si="13"/>
        <v>2377.7181250000003</v>
      </c>
      <c r="L28" s="21">
        <f t="shared" si="13"/>
        <v>1557.8712500000015</v>
      </c>
      <c r="M28" s="21">
        <f t="shared" si="13"/>
        <v>521.32374999999752</v>
      </c>
      <c r="N28" s="21">
        <f t="shared" si="13"/>
        <v>591.73011999999937</v>
      </c>
      <c r="O28" s="21">
        <f t="shared" si="13"/>
        <v>-858.06166724999957</v>
      </c>
      <c r="P28" s="21">
        <f t="shared" si="13"/>
        <v>1494.6596646250005</v>
      </c>
      <c r="Q28" s="140">
        <f t="shared" si="13"/>
        <v>705.87489553250384</v>
      </c>
      <c r="R28" s="140">
        <f t="shared" ref="R28:AA28" si="14">SUM(R24:R27)</f>
        <v>670.8278402499908</v>
      </c>
      <c r="S28" s="140">
        <f t="shared" si="14"/>
        <v>654.92270622235503</v>
      </c>
      <c r="T28" s="140">
        <f t="shared" si="14"/>
        <v>661.12495925735936</v>
      </c>
      <c r="U28" s="140">
        <f t="shared" si="14"/>
        <v>-6849.698359661772</v>
      </c>
      <c r="V28" s="140">
        <f t="shared" si="14"/>
        <v>-4825.4015509394103</v>
      </c>
      <c r="W28" s="140">
        <f t="shared" si="14"/>
        <v>864.04295555460976</v>
      </c>
      <c r="X28" s="140">
        <f t="shared" si="14"/>
        <v>1673.7992745341276</v>
      </c>
      <c r="Y28" s="140">
        <f t="shared" si="14"/>
        <v>1617.9941704754838</v>
      </c>
      <c r="Z28" s="140">
        <f t="shared" si="14"/>
        <v>759.8777461323541</v>
      </c>
      <c r="AA28" s="140">
        <f t="shared" si="14"/>
        <v>1120.6552063823331</v>
      </c>
      <c r="AB28" s="360">
        <f>SUM(AB24:AB27)</f>
        <v>1637.167231682334</v>
      </c>
      <c r="AC28" s="95">
        <f t="shared" ref="AC28:AF28" si="15">SUM(AC24:AC27)</f>
        <v>158.5261807000179</v>
      </c>
      <c r="AD28" s="95">
        <f t="shared" si="15"/>
        <v>158.32911468011162</v>
      </c>
      <c r="AE28" s="95">
        <f t="shared" si="15"/>
        <v>158.5867646744764</v>
      </c>
      <c r="AF28" s="261">
        <f t="shared" si="15"/>
        <v>159.79622061707528</v>
      </c>
    </row>
    <row r="29" spans="1:32" s="146" customFormat="1" x14ac:dyDescent="0.2">
      <c r="A29" s="9" t="s">
        <v>217</v>
      </c>
      <c r="B29" s="9"/>
      <c r="C29" s="9"/>
      <c r="D29" s="9"/>
      <c r="E29" s="9"/>
      <c r="F29" s="9"/>
      <c r="G29" s="9">
        <f>G19-G28</f>
        <v>0</v>
      </c>
      <c r="H29" s="9">
        <f t="shared" ref="H29:AB29" si="16">H19-H28</f>
        <v>0</v>
      </c>
      <c r="I29" s="9">
        <f t="shared" si="16"/>
        <v>0</v>
      </c>
      <c r="J29" s="9">
        <f t="shared" si="16"/>
        <v>0</v>
      </c>
      <c r="K29" s="9">
        <f t="shared" si="16"/>
        <v>0</v>
      </c>
      <c r="L29" s="9">
        <f t="shared" si="16"/>
        <v>-4.0927261579781771E-12</v>
      </c>
      <c r="M29" s="9">
        <f t="shared" si="16"/>
        <v>0.21125000000256478</v>
      </c>
      <c r="N29" s="9">
        <f t="shared" si="16"/>
        <v>-339.07061999999962</v>
      </c>
      <c r="O29" s="9">
        <f t="shared" si="16"/>
        <v>336.35936999999831</v>
      </c>
      <c r="P29" s="9">
        <f t="shared" si="16"/>
        <v>-1234.1567658749996</v>
      </c>
      <c r="Q29" s="9">
        <f t="shared" si="16"/>
        <v>-458.22449678250382</v>
      </c>
      <c r="R29" s="9">
        <f t="shared" si="16"/>
        <v>-436.00644149998891</v>
      </c>
      <c r="S29" s="9">
        <f t="shared" si="16"/>
        <v>-435.55130747235728</v>
      </c>
      <c r="T29" s="9">
        <f t="shared" si="16"/>
        <v>-455.79906050736179</v>
      </c>
      <c r="U29" s="9">
        <f t="shared" si="16"/>
        <v>3015.3091697647142</v>
      </c>
      <c r="V29" s="9">
        <f t="shared" si="16"/>
        <v>-0.23223434000465204</v>
      </c>
      <c r="W29" s="9">
        <f t="shared" si="16"/>
        <v>-3244.1453800903337</v>
      </c>
      <c r="X29" s="9">
        <f t="shared" si="16"/>
        <v>-2438.9073235698529</v>
      </c>
      <c r="Y29" s="9">
        <f t="shared" si="16"/>
        <v>-1443.4637717254864</v>
      </c>
      <c r="Z29" s="9">
        <f t="shared" si="16"/>
        <v>-588.94584738235676</v>
      </c>
      <c r="AA29" s="9">
        <f t="shared" si="16"/>
        <v>-955.59180763233985</v>
      </c>
      <c r="AB29" s="9">
        <f t="shared" si="16"/>
        <v>-1482.6158329323287</v>
      </c>
      <c r="AC29" s="103">
        <f t="shared" ref="AC29" si="17">AC19-AC28</f>
        <v>-3.2170282000233783</v>
      </c>
      <c r="AD29" s="103">
        <f t="shared" ref="AD29" si="18">AD19-AD28</f>
        <v>-3.3087527691700416</v>
      </c>
      <c r="AE29" s="103">
        <f t="shared" ref="AE29" si="19">AE19-AE28</f>
        <v>-3.4046965641164206</v>
      </c>
      <c r="AF29" s="266">
        <f t="shared" ref="AF29" si="20">AF19-AF28</f>
        <v>-3.5050255491744338</v>
      </c>
    </row>
    <row r="30" spans="1:32" s="146" customFormat="1" x14ac:dyDescent="0.2">
      <c r="A30" s="9"/>
      <c r="B30" s="9"/>
      <c r="C30" s="9"/>
      <c r="D30" s="9"/>
      <c r="E30" s="9"/>
      <c r="F30" s="9"/>
      <c r="G30" s="9"/>
      <c r="H30" s="9"/>
      <c r="I30" s="9"/>
      <c r="J30" s="9"/>
      <c r="K30" s="9"/>
      <c r="L30" s="9"/>
      <c r="M30" s="9"/>
      <c r="N30" s="9"/>
      <c r="O30" s="9"/>
      <c r="P30" s="9"/>
      <c r="AB30" s="343"/>
      <c r="AC30" s="103"/>
      <c r="AD30" s="103"/>
      <c r="AE30" s="103"/>
      <c r="AF30" s="266"/>
    </row>
    <row r="31" spans="1:32" s="146" customFormat="1" x14ac:dyDescent="0.2">
      <c r="A31" s="9"/>
      <c r="B31" s="9"/>
      <c r="C31" s="9"/>
      <c r="D31" s="9"/>
      <c r="E31" s="9"/>
      <c r="F31" s="9"/>
      <c r="G31" s="9"/>
      <c r="H31" s="9"/>
      <c r="I31" s="9"/>
      <c r="J31" s="9"/>
      <c r="K31" s="9"/>
      <c r="L31" s="9"/>
      <c r="M31" s="9"/>
      <c r="N31" s="9"/>
      <c r="O31" s="9"/>
      <c r="P31" s="9"/>
      <c r="AB31" s="343"/>
      <c r="AC31" s="103"/>
      <c r="AD31" s="103"/>
      <c r="AE31" s="103"/>
      <c r="AF31" s="266"/>
    </row>
    <row r="32" spans="1:32" s="121" customFormat="1" x14ac:dyDescent="0.2">
      <c r="A32" s="12" t="s">
        <v>285</v>
      </c>
      <c r="B32" s="3"/>
      <c r="C32" s="3"/>
      <c r="D32" s="3"/>
      <c r="E32" s="3"/>
      <c r="F32" s="3"/>
      <c r="G32" s="3"/>
      <c r="H32" s="3"/>
      <c r="I32" s="3"/>
      <c r="J32" s="3"/>
      <c r="K32" s="3"/>
      <c r="L32" s="3"/>
      <c r="M32" s="3"/>
      <c r="N32" s="3"/>
      <c r="O32" s="3"/>
      <c r="P32" s="3"/>
      <c r="AB32" s="344"/>
      <c r="AC32" s="79"/>
      <c r="AD32" s="79"/>
      <c r="AE32" s="79"/>
      <c r="AF32" s="240"/>
    </row>
    <row r="33" spans="1:32" s="121" customFormat="1" x14ac:dyDescent="0.2">
      <c r="A33" s="3"/>
      <c r="B33" s="3"/>
      <c r="C33" s="3"/>
      <c r="D33" s="3"/>
      <c r="E33" s="3"/>
      <c r="F33" s="3"/>
      <c r="G33" s="3"/>
      <c r="H33" s="3"/>
      <c r="I33" s="3"/>
      <c r="J33" s="3"/>
      <c r="K33" s="3"/>
      <c r="L33" s="3"/>
      <c r="M33" s="3"/>
      <c r="N33" s="3"/>
      <c r="O33" s="3"/>
      <c r="P33" s="3"/>
      <c r="AB33" s="344"/>
      <c r="AC33" s="79"/>
      <c r="AD33" s="79"/>
      <c r="AE33" s="79"/>
      <c r="AF33" s="240"/>
    </row>
    <row r="34" spans="1:32" s="121" customFormat="1" x14ac:dyDescent="0.2">
      <c r="A34" s="3" t="s">
        <v>218</v>
      </c>
      <c r="B34" s="3" t="s">
        <v>347</v>
      </c>
      <c r="C34" s="3">
        <f>expense!C10</f>
        <v>465</v>
      </c>
      <c r="D34" s="3">
        <f>expense!D10</f>
        <v>590</v>
      </c>
      <c r="E34" s="3">
        <f>expense!E10</f>
        <v>594</v>
      </c>
      <c r="F34" s="3">
        <f>expense!F10</f>
        <v>585</v>
      </c>
      <c r="G34" s="3">
        <f>expense!G10</f>
        <v>646</v>
      </c>
      <c r="H34" s="3">
        <f>expense!H10</f>
        <v>681.5</v>
      </c>
      <c r="I34" s="3">
        <f>expense!I10</f>
        <v>668.5</v>
      </c>
      <c r="J34" s="3">
        <f>expense!J10</f>
        <v>602</v>
      </c>
      <c r="K34" s="3">
        <f>expense!K10+'RCA exp'!E10</f>
        <v>665</v>
      </c>
      <c r="L34" s="3">
        <f>expense!L10+'RCA exp'!F10</f>
        <v>661.5</v>
      </c>
      <c r="M34" s="3">
        <f>expense!M10+'RCA exp'!G10</f>
        <v>659</v>
      </c>
      <c r="N34" s="3">
        <f>expense!N10+'RCA exp'!H10</f>
        <v>785.5</v>
      </c>
      <c r="O34" s="3">
        <f>expense!O10+'RCA exp'!I10</f>
        <v>863.82399999999996</v>
      </c>
      <c r="P34" s="3">
        <f>expense!P10+'RCA exp'!J10</f>
        <v>872.03800000000001</v>
      </c>
      <c r="Q34" s="121">
        <f>expense!Q10+'RCA exp'!K10</f>
        <v>883.16849999999999</v>
      </c>
      <c r="R34" s="121">
        <f>expense!R10+'RCA exp'!L10</f>
        <v>960.29750000000001</v>
      </c>
      <c r="S34" s="121">
        <f>expense!S10+'RCA exp'!M10</f>
        <v>1001.165</v>
      </c>
      <c r="T34" s="121">
        <f>expense!T10+'RCA exp'!N10</f>
        <v>1055.6524999999999</v>
      </c>
      <c r="U34" s="121">
        <f>expense!U10+'RCA exp'!O10</f>
        <v>1123.4195</v>
      </c>
      <c r="V34" s="226">
        <f>expense!V10+'RCA exp'!P10</f>
        <v>1179.4725000000001</v>
      </c>
      <c r="W34" s="121">
        <f>expense!W10+'RCA exp'!Q10</f>
        <v>1223.4095</v>
      </c>
      <c r="X34" s="121">
        <f>expense!X10+'RCA exp'!R10</f>
        <v>1290.0060000000001</v>
      </c>
      <c r="Y34" s="121">
        <f>expense!Y10+'RCA exp'!S10</f>
        <v>1402.7874999999999</v>
      </c>
      <c r="Z34" s="121">
        <f>expense!Z10+'RCA exp'!T10</f>
        <v>1333.7255</v>
      </c>
      <c r="AA34" s="121">
        <f>expense!AA10+'RCA exp'!U10</f>
        <v>1465.268</v>
      </c>
      <c r="AB34" s="344">
        <f>expense!AB10+'RCA exp'!V10</f>
        <v>1455.1120000000001</v>
      </c>
      <c r="AC34" s="79">
        <f>expense!AC10+'RCA exp'!W10</f>
        <v>1516.011675</v>
      </c>
      <c r="AD34" s="79">
        <f>expense!AD10+'RCA exp'!X10</f>
        <v>1635.3715152148434</v>
      </c>
      <c r="AE34" s="79">
        <f>expense!AE10+'RCA exp'!Y10</f>
        <v>1754.6302188377069</v>
      </c>
      <c r="AF34" s="240">
        <f>expense!AF10+'RCA exp'!Z10</f>
        <v>1882.5426198656914</v>
      </c>
    </row>
    <row r="35" spans="1:32" s="121" customFormat="1" x14ac:dyDescent="0.2">
      <c r="A35" s="3" t="s">
        <v>219</v>
      </c>
      <c r="B35" s="3" t="s">
        <v>347</v>
      </c>
      <c r="C35" s="23" t="str">
        <f>expense!C11</f>
        <v>n/a</v>
      </c>
      <c r="D35" s="23">
        <f>expense!D11</f>
        <v>-55.5</v>
      </c>
      <c r="E35" s="23">
        <f>expense!E11</f>
        <v>-30.5</v>
      </c>
      <c r="F35" s="23">
        <f>expense!F11</f>
        <v>-128.5</v>
      </c>
      <c r="G35" s="23">
        <f>expense!G11</f>
        <v>-74</v>
      </c>
      <c r="H35" s="23">
        <f>expense!H11</f>
        <v>-146.5</v>
      </c>
      <c r="I35" s="23">
        <f>expense!I11</f>
        <v>-190</v>
      </c>
      <c r="J35" s="23">
        <f>expense!J11</f>
        <v>-219.5</v>
      </c>
      <c r="K35" s="23">
        <f>expense!K11+'RCA exp'!E11</f>
        <v>-333.5</v>
      </c>
      <c r="L35" s="23">
        <f>expense!L11+'RCA exp'!F11</f>
        <v>-496</v>
      </c>
      <c r="M35" s="23">
        <f>expense!M11+'RCA exp'!G11</f>
        <v>-577</v>
      </c>
      <c r="N35" s="23">
        <f>expense!N11+'RCA exp'!H11</f>
        <v>-243</v>
      </c>
      <c r="O35" s="23">
        <f>expense!O11+'RCA exp'!I11</f>
        <v>-251.5</v>
      </c>
      <c r="P35" s="23">
        <f>expense!P11+'RCA exp'!J11</f>
        <v>-240</v>
      </c>
      <c r="Q35" s="130">
        <f>expense!Q11+'RCA exp'!K11</f>
        <v>-251</v>
      </c>
      <c r="R35" s="130">
        <f>expense!R11+'RCA exp'!L11</f>
        <v>-252</v>
      </c>
      <c r="S35" s="130">
        <f>expense!S11+'RCA exp'!M11</f>
        <v>-254.5</v>
      </c>
      <c r="T35" s="130">
        <f>expense!T11+'RCA exp'!N11</f>
        <v>-374</v>
      </c>
      <c r="U35" s="130">
        <f>expense!U11+'RCA exp'!O11</f>
        <v>-574</v>
      </c>
      <c r="V35" s="230">
        <f>expense!V11+'RCA exp'!P11</f>
        <v>-476</v>
      </c>
      <c r="W35" s="130">
        <f>expense!W11+'RCA exp'!Q11</f>
        <v>-304.5</v>
      </c>
      <c r="X35" s="130">
        <f>expense!X11+'RCA exp'!R11</f>
        <v>-253</v>
      </c>
      <c r="Y35" s="130">
        <f>expense!Y11+'RCA exp'!S11</f>
        <v>-98.5</v>
      </c>
      <c r="Z35" s="130">
        <f>expense!Z11+'RCA exp'!T11</f>
        <v>28</v>
      </c>
      <c r="AA35" s="130">
        <f>expense!AA11+'RCA exp'!U11</f>
        <v>-164</v>
      </c>
      <c r="AB35" s="347">
        <f>expense!AB11+'RCA exp'!V11</f>
        <v>-373.5</v>
      </c>
      <c r="AC35" s="84">
        <f>expense!AC11+'RCA exp'!W11</f>
        <v>-682</v>
      </c>
      <c r="AD35" s="84">
        <f>expense!AD11+'RCA exp'!X11</f>
        <v>-880.5</v>
      </c>
      <c r="AE35" s="84">
        <f>expense!AE11+'RCA exp'!Y11</f>
        <v>-1036</v>
      </c>
      <c r="AF35" s="245">
        <f>expense!AF11+'RCA exp'!Z11</f>
        <v>-1176</v>
      </c>
    </row>
    <row r="36" spans="1:32" s="121" customFormat="1" x14ac:dyDescent="0.2">
      <c r="A36" s="3" t="s">
        <v>221</v>
      </c>
      <c r="B36" s="3" t="s">
        <v>347</v>
      </c>
      <c r="C36" s="3">
        <f>expense!C12</f>
        <v>167.3175</v>
      </c>
      <c r="D36" s="3">
        <f>expense!D12</f>
        <v>209.71499999999992</v>
      </c>
      <c r="E36" s="3">
        <f>expense!E12</f>
        <v>115.49624999999992</v>
      </c>
      <c r="F36" s="3">
        <f>expense!F12</f>
        <v>126.546875</v>
      </c>
      <c r="G36" s="3">
        <f>expense!G12</f>
        <v>108.89374999999995</v>
      </c>
      <c r="H36" s="3">
        <f>expense!H12</f>
        <v>148.19374999999991</v>
      </c>
      <c r="I36" s="3">
        <f>expense!I12</f>
        <v>71.337500000000091</v>
      </c>
      <c r="J36" s="3">
        <f>expense!J12</f>
        <v>17.744374999999991</v>
      </c>
      <c r="K36" s="23">
        <f>expense!K12+'RCA exp'!E12</f>
        <v>-57.110625000000034</v>
      </c>
      <c r="L36" s="23">
        <f>expense!L12+'RCA exp'!F12</f>
        <v>-183.3468750000001</v>
      </c>
      <c r="M36" s="23">
        <f>expense!M12+'RCA exp'!G12</f>
        <v>-349.5474999999999</v>
      </c>
      <c r="N36" s="23">
        <f>expense!N12+'RCA exp'!H12</f>
        <v>-368.98925000000014</v>
      </c>
      <c r="O36" s="23">
        <f>expense!O12+'RCA exp'!I12</f>
        <v>-244.08360124999987</v>
      </c>
      <c r="P36" s="23">
        <f>expense!P12+'RCA exp'!J12</f>
        <v>-265.26360512500037</v>
      </c>
      <c r="Q36" s="130">
        <f>expense!Q12+'RCA exp'!K12</f>
        <v>-258.44417843750017</v>
      </c>
      <c r="R36" s="130">
        <f>expense!R12+'RCA exp'!L12</f>
        <v>-278.50459150000034</v>
      </c>
      <c r="S36" s="130">
        <f>expense!S12+'RCA exp'!M12</f>
        <v>-255.72851049999991</v>
      </c>
      <c r="T36" s="130">
        <f>expense!T12+'RCA exp'!N12</f>
        <v>-378.22502237500004</v>
      </c>
      <c r="U36" s="130">
        <f>expense!U12+'RCA exp'!O12</f>
        <v>-533.92285499999991</v>
      </c>
      <c r="V36" s="230">
        <f>expense!V12+'RCA exp'!P12</f>
        <v>-478.85669149999973</v>
      </c>
      <c r="W36" s="130">
        <f>expense!W12+'RCA exp'!Q12</f>
        <v>-393.52307796428619</v>
      </c>
      <c r="X36" s="130">
        <f>expense!X12+'RCA exp'!R12</f>
        <v>-490.91412181249984</v>
      </c>
      <c r="Y36" s="130">
        <f>expense!Y12+'RCA exp'!S12</f>
        <v>-384.08680666741043</v>
      </c>
      <c r="Z36" s="130">
        <f>expense!Z12+'RCA exp'!T12</f>
        <v>-454.23713750000002</v>
      </c>
      <c r="AA36" s="130">
        <f>expense!AA12+'RCA exp'!U12</f>
        <v>-703.06450525000025</v>
      </c>
      <c r="AB36" s="347">
        <f>expense!AB12+'RCA exp'!V12</f>
        <v>-935.91450125000051</v>
      </c>
      <c r="AC36" s="84">
        <f>expense!AC12+'RCA exp'!W12</f>
        <v>-1251.6551351005046</v>
      </c>
      <c r="AD36" s="84">
        <f>expense!AD12+'RCA exp'!X12</f>
        <v>-1540.1652875775424</v>
      </c>
      <c r="AE36" s="84">
        <f>expense!AE12+'RCA exp'!Y12</f>
        <v>-1792.8429684645901</v>
      </c>
      <c r="AF36" s="245">
        <f>expense!AF12+'RCA exp'!Z12</f>
        <v>-2020.6908282799291</v>
      </c>
    </row>
    <row r="37" spans="1:32" s="121" customFormat="1" x14ac:dyDescent="0.2">
      <c r="A37" s="3" t="s">
        <v>222</v>
      </c>
      <c r="B37" s="3" t="s">
        <v>347</v>
      </c>
      <c r="C37" s="3">
        <f>expense!C13</f>
        <v>0</v>
      </c>
      <c r="D37" s="3">
        <f>expense!D13</f>
        <v>0</v>
      </c>
      <c r="E37" s="3">
        <f>expense!E13</f>
        <v>0</v>
      </c>
      <c r="F37" s="3">
        <f>expense!F13</f>
        <v>0</v>
      </c>
      <c r="G37" s="3">
        <f>expense!G13</f>
        <v>0</v>
      </c>
      <c r="H37" s="3">
        <f>expense!H13</f>
        <v>0</v>
      </c>
      <c r="I37" s="3">
        <f>expense!I13</f>
        <v>129</v>
      </c>
      <c r="J37" s="3">
        <f>expense!J13</f>
        <v>1006.5</v>
      </c>
      <c r="K37" s="3">
        <f>expense!K13+'RCA exp'!E13</f>
        <v>0</v>
      </c>
      <c r="L37" s="3">
        <f>expense!L13+'RCA exp'!F13</f>
        <v>0</v>
      </c>
      <c r="M37" s="3">
        <f>expense!M13+'RCA exp'!G13</f>
        <v>0</v>
      </c>
      <c r="N37" s="3">
        <f>expense!N13+'RCA exp'!H13</f>
        <v>2279</v>
      </c>
      <c r="O37" s="3">
        <f>expense!O13+'RCA exp'!I13</f>
        <v>0</v>
      </c>
      <c r="P37" s="3">
        <f>expense!P13+'RCA exp'!J13</f>
        <v>0</v>
      </c>
      <c r="Q37" s="121">
        <f>expense!Q13+'RCA exp'!K13</f>
        <v>0</v>
      </c>
      <c r="R37" s="121">
        <f>expense!R13+'RCA exp'!L13</f>
        <v>0</v>
      </c>
      <c r="S37" s="121">
        <f>expense!S13+'RCA exp'!M13</f>
        <v>0</v>
      </c>
      <c r="T37" s="121">
        <f>expense!T13+'RCA exp'!N13</f>
        <v>0</v>
      </c>
      <c r="U37" s="121">
        <f>expense!U13+'RCA exp'!O13</f>
        <v>0</v>
      </c>
      <c r="V37" s="226">
        <f>expense!V13+'RCA exp'!P13</f>
        <v>0</v>
      </c>
      <c r="W37" s="121">
        <f>expense!W13+'RCA exp'!Q13</f>
        <v>0</v>
      </c>
      <c r="X37" s="121">
        <f>expense!X13+'RCA exp'!R13</f>
        <v>0</v>
      </c>
      <c r="Y37" s="121">
        <f>expense!Y13+'RCA exp'!S13</f>
        <v>0</v>
      </c>
      <c r="Z37" s="121">
        <f>expense!Z13+'RCA exp'!T13</f>
        <v>0</v>
      </c>
      <c r="AA37" s="121">
        <f>expense!AA13+'RCA exp'!U13</f>
        <v>0</v>
      </c>
      <c r="AB37" s="344">
        <f>expense!AB13+'RCA exp'!V13</f>
        <v>0</v>
      </c>
      <c r="AC37" s="79">
        <f>expense!AC13+'RCA exp'!W13</f>
        <v>0</v>
      </c>
      <c r="AD37" s="79">
        <f>expense!AD13+'RCA exp'!X13</f>
        <v>0</v>
      </c>
      <c r="AE37" s="79">
        <f>expense!AE13+'RCA exp'!Y13</f>
        <v>0</v>
      </c>
      <c r="AF37" s="240">
        <f>expense!AF13+'RCA exp'!Z13</f>
        <v>0</v>
      </c>
    </row>
    <row r="38" spans="1:32" s="121" customFormat="1" x14ac:dyDescent="0.2">
      <c r="A38" s="3" t="s">
        <v>206</v>
      </c>
      <c r="B38" s="3" t="s">
        <v>348</v>
      </c>
      <c r="C38" s="3">
        <f>expense!C14</f>
        <v>0</v>
      </c>
      <c r="D38" s="3">
        <f>expense!D14</f>
        <v>0</v>
      </c>
      <c r="E38" s="3">
        <f>expense!E14</f>
        <v>0</v>
      </c>
      <c r="F38" s="3">
        <f>expense!F14</f>
        <v>0</v>
      </c>
      <c r="G38" s="3">
        <f>expense!G14</f>
        <v>0</v>
      </c>
      <c r="H38" s="3">
        <f>expense!H14</f>
        <v>0</v>
      </c>
      <c r="I38" s="3">
        <f>expense!I14</f>
        <v>250</v>
      </c>
      <c r="J38" s="3">
        <f>expense!J14</f>
        <v>-250</v>
      </c>
      <c r="K38" s="3">
        <f>expense!K14</f>
        <v>0</v>
      </c>
      <c r="L38" s="3">
        <f>expense!L14</f>
        <v>0</v>
      </c>
      <c r="M38" s="3">
        <f>expense!M14</f>
        <v>0</v>
      </c>
      <c r="N38" s="3">
        <f>expense!N14</f>
        <v>0</v>
      </c>
      <c r="O38" s="3">
        <f>expense!O14</f>
        <v>0</v>
      </c>
      <c r="P38" s="3">
        <f>expense!P14</f>
        <v>0</v>
      </c>
      <c r="Q38" s="121">
        <f>expense!Q14</f>
        <v>0</v>
      </c>
      <c r="R38" s="121">
        <f>expense!R14</f>
        <v>0</v>
      </c>
      <c r="S38" s="121">
        <f>expense!S14</f>
        <v>0</v>
      </c>
      <c r="T38" s="121">
        <f>expense!T14</f>
        <v>0</v>
      </c>
      <c r="U38" s="121">
        <f>expense!U14</f>
        <v>0</v>
      </c>
      <c r="V38" s="226">
        <f>expense!V14</f>
        <v>0</v>
      </c>
      <c r="W38" s="121">
        <f>expense!W14</f>
        <v>0</v>
      </c>
      <c r="X38" s="121">
        <f>expense!X14</f>
        <v>0</v>
      </c>
      <c r="Y38" s="121">
        <f>expense!Y14</f>
        <v>0</v>
      </c>
      <c r="Z38" s="121">
        <f>expense!Z14</f>
        <v>0</v>
      </c>
      <c r="AA38" s="121">
        <f>expense!AA14</f>
        <v>0</v>
      </c>
      <c r="AB38" s="344">
        <f>expense!AB14</f>
        <v>0</v>
      </c>
      <c r="AC38" s="79">
        <f>expense!AC14</f>
        <v>0</v>
      </c>
      <c r="AD38" s="79">
        <f>expense!AD14</f>
        <v>0</v>
      </c>
      <c r="AE38" s="79">
        <f>expense!AE14</f>
        <v>0</v>
      </c>
      <c r="AF38" s="240">
        <f>expense!AF14</f>
        <v>0</v>
      </c>
    </row>
    <row r="39" spans="1:32" s="121" customFormat="1" x14ac:dyDescent="0.2">
      <c r="A39" s="3" t="s">
        <v>284</v>
      </c>
      <c r="B39" s="3" t="s">
        <v>349</v>
      </c>
      <c r="C39" s="3"/>
      <c r="D39" s="3"/>
      <c r="E39" s="3"/>
      <c r="F39" s="3"/>
      <c r="G39" s="3"/>
      <c r="H39" s="3"/>
      <c r="I39" s="3"/>
      <c r="J39" s="3">
        <f>'RCA liab'!$E$11</f>
        <v>220.58374999999998</v>
      </c>
      <c r="K39" s="3"/>
      <c r="L39" s="3"/>
      <c r="M39" s="3"/>
      <c r="N39" s="3"/>
      <c r="O39" s="3"/>
      <c r="P39" s="3"/>
      <c r="V39" s="226"/>
      <c r="AB39" s="344"/>
      <c r="AC39" s="79"/>
      <c r="AD39" s="79"/>
      <c r="AE39" s="79"/>
      <c r="AF39" s="240"/>
    </row>
    <row r="40" spans="1:32" s="121" customFormat="1" x14ac:dyDescent="0.2">
      <c r="A40" s="3" t="s">
        <v>247</v>
      </c>
      <c r="B40" s="3" t="s">
        <v>347</v>
      </c>
      <c r="C40" s="3">
        <f>expense!C15</f>
        <v>0</v>
      </c>
      <c r="D40" s="3">
        <f>expense!D15</f>
        <v>0</v>
      </c>
      <c r="E40" s="3">
        <f>expense!E15</f>
        <v>0</v>
      </c>
      <c r="F40" s="3">
        <f>expense!F15</f>
        <v>0</v>
      </c>
      <c r="G40" s="3">
        <f>expense!G15</f>
        <v>0</v>
      </c>
      <c r="H40" s="3">
        <f>expense!H15</f>
        <v>0</v>
      </c>
      <c r="I40" s="3">
        <f>expense!I15</f>
        <v>-379</v>
      </c>
      <c r="J40" s="3">
        <f>expense!J15</f>
        <v>-756.5</v>
      </c>
      <c r="K40" s="3">
        <f>expense!K15+'RCA exp'!E14</f>
        <v>0</v>
      </c>
      <c r="L40" s="3">
        <f>expense!L15+'RCA exp'!F14</f>
        <v>0</v>
      </c>
      <c r="M40" s="3">
        <f>expense!M15+'RCA exp'!G14</f>
        <v>0</v>
      </c>
      <c r="N40" s="3">
        <f>expense!N15+'RCA exp'!H14</f>
        <v>-2279</v>
      </c>
      <c r="O40" s="3">
        <f>expense!O15+'RCA exp'!I14</f>
        <v>0</v>
      </c>
      <c r="P40" s="3">
        <f>expense!P15+'RCA exp'!J14</f>
        <v>0</v>
      </c>
      <c r="Q40" s="121">
        <f>expense!Q15+'RCA exp'!K14</f>
        <v>0</v>
      </c>
      <c r="R40" s="121">
        <f>expense!R15+'RCA exp'!L14</f>
        <v>0</v>
      </c>
      <c r="S40" s="121">
        <f>expense!S15+'RCA exp'!M14</f>
        <v>0</v>
      </c>
      <c r="T40" s="121">
        <f>expense!T15+'RCA exp'!N14</f>
        <v>0</v>
      </c>
      <c r="U40" s="121">
        <f>expense!U15+'RCA exp'!O14</f>
        <v>0</v>
      </c>
      <c r="V40" s="226">
        <f>expense!V15+'RCA exp'!P14</f>
        <v>0</v>
      </c>
      <c r="W40" s="121">
        <f>expense!W15+'RCA exp'!Q14</f>
        <v>0</v>
      </c>
      <c r="X40" s="121">
        <f>expense!X15+'RCA exp'!R14</f>
        <v>0</v>
      </c>
      <c r="Y40" s="121">
        <f>expense!Y15+'RCA exp'!S14</f>
        <v>0</v>
      </c>
      <c r="Z40" s="121">
        <f>expense!Z15+'RCA exp'!T14</f>
        <v>0</v>
      </c>
      <c r="AA40" s="121">
        <f>expense!AA15+'RCA exp'!U14</f>
        <v>0</v>
      </c>
      <c r="AB40" s="344">
        <f>expense!AB15+'RCA exp'!V14</f>
        <v>0</v>
      </c>
      <c r="AC40" s="79">
        <f>expense!AC15+'RCA exp'!W14</f>
        <v>0</v>
      </c>
      <c r="AD40" s="79">
        <f>expense!AD15+'RCA exp'!X14</f>
        <v>0</v>
      </c>
      <c r="AE40" s="79">
        <f>expense!AE15+'RCA exp'!Y14</f>
        <v>0</v>
      </c>
      <c r="AF40" s="240">
        <f>expense!AF15+'RCA exp'!Z14</f>
        <v>0</v>
      </c>
    </row>
    <row r="41" spans="1:32" s="121" customFormat="1" x14ac:dyDescent="0.2">
      <c r="A41" s="3" t="s">
        <v>246</v>
      </c>
      <c r="B41" s="3" t="s">
        <v>348</v>
      </c>
      <c r="C41" s="3">
        <f>expense!C16</f>
        <v>0</v>
      </c>
      <c r="D41" s="3">
        <f>expense!D16</f>
        <v>0</v>
      </c>
      <c r="E41" s="3">
        <f>expense!E16</f>
        <v>0</v>
      </c>
      <c r="F41" s="3">
        <f>expense!F16</f>
        <v>-174</v>
      </c>
      <c r="G41" s="3">
        <f>expense!G16</f>
        <v>-174</v>
      </c>
      <c r="H41" s="3">
        <f>expense!H16</f>
        <v>-174</v>
      </c>
      <c r="I41" s="3">
        <f>expense!I16</f>
        <v>-174</v>
      </c>
      <c r="J41" s="3">
        <f>expense!J16</f>
        <v>-174</v>
      </c>
      <c r="K41" s="3">
        <f>expense!K16</f>
        <v>-174</v>
      </c>
      <c r="L41" s="3">
        <f>expense!L16</f>
        <v>-174</v>
      </c>
      <c r="M41" s="3">
        <f>expense!M16</f>
        <v>-174</v>
      </c>
      <c r="N41" s="3">
        <f>expense!N16</f>
        <v>-174</v>
      </c>
      <c r="O41" s="3">
        <f>expense!O16</f>
        <v>-174</v>
      </c>
      <c r="P41" s="3">
        <f>expense!P16</f>
        <v>-174</v>
      </c>
      <c r="Q41" s="121">
        <f>expense!Q16</f>
        <v>-174</v>
      </c>
      <c r="R41" s="121">
        <f>expense!R16</f>
        <v>-174</v>
      </c>
      <c r="S41" s="121">
        <f>expense!S16</f>
        <v>-176</v>
      </c>
      <c r="T41" s="121">
        <f>expense!T16</f>
        <v>0</v>
      </c>
      <c r="U41" s="121">
        <f>expense!U16</f>
        <v>0</v>
      </c>
      <c r="V41" s="226">
        <f>expense!V16</f>
        <v>0</v>
      </c>
      <c r="W41" s="121">
        <f>expense!W16</f>
        <v>0</v>
      </c>
      <c r="X41" s="121">
        <f>expense!X16</f>
        <v>0</v>
      </c>
      <c r="Y41" s="121">
        <f>expense!Y16</f>
        <v>0</v>
      </c>
      <c r="Z41" s="121">
        <f>expense!Z16</f>
        <v>0</v>
      </c>
      <c r="AA41" s="121">
        <f>expense!AA16</f>
        <v>0</v>
      </c>
      <c r="AB41" s="344">
        <f>expense!AB16</f>
        <v>0</v>
      </c>
      <c r="AC41" s="79">
        <f>expense!AC16</f>
        <v>0</v>
      </c>
      <c r="AD41" s="79">
        <f>expense!AD16</f>
        <v>0</v>
      </c>
      <c r="AE41" s="79">
        <f>expense!AE16</f>
        <v>0</v>
      </c>
      <c r="AF41" s="240">
        <f>expense!AF16</f>
        <v>0</v>
      </c>
    </row>
    <row r="42" spans="1:32" s="121" customFormat="1" x14ac:dyDescent="0.2">
      <c r="A42" s="157" t="s">
        <v>342</v>
      </c>
      <c r="B42" s="157" t="s">
        <v>348</v>
      </c>
      <c r="C42" s="157"/>
      <c r="D42" s="157"/>
      <c r="E42" s="157"/>
      <c r="F42" s="157"/>
      <c r="G42" s="157"/>
      <c r="H42" s="157"/>
      <c r="I42" s="157"/>
      <c r="J42" s="157"/>
      <c r="K42" s="157"/>
      <c r="L42" s="157"/>
      <c r="M42" s="157"/>
      <c r="N42" s="157"/>
      <c r="O42" s="157"/>
      <c r="P42" s="157"/>
      <c r="Q42" s="157"/>
      <c r="R42" s="157"/>
      <c r="S42" s="157">
        <f>expense!S17</f>
        <v>-5.5147058823529411</v>
      </c>
      <c r="T42" s="121">
        <f>expense!T17</f>
        <v>-5.5147058823529411</v>
      </c>
      <c r="U42" s="121">
        <f>expense!U17</f>
        <v>-5.5147058823529411</v>
      </c>
      <c r="V42" s="226">
        <f>expense!V17</f>
        <v>-5.5147058823529411</v>
      </c>
      <c r="W42" s="121">
        <f>expense!W17</f>
        <v>-5.5147058823529411</v>
      </c>
      <c r="X42" s="121">
        <f>expense!X17</f>
        <v>-5.5147058823529411</v>
      </c>
      <c r="Y42" s="121">
        <f>expense!Y17</f>
        <v>-5.5147058823529411</v>
      </c>
      <c r="Z42" s="121">
        <f>expense!Z17</f>
        <v>-5.5147058823529411</v>
      </c>
      <c r="AA42" s="121">
        <f>expense!AA17</f>
        <v>-5.5147058823529411</v>
      </c>
      <c r="AB42" s="344">
        <f>expense!AB17</f>
        <v>-5.5147058823529411</v>
      </c>
      <c r="AC42" s="79">
        <f>expense!AC17</f>
        <v>-5.0147058823529411</v>
      </c>
      <c r="AD42" s="79">
        <f>expense!AD17</f>
        <v>-5.0147058823529411</v>
      </c>
      <c r="AE42" s="79">
        <f>expense!AE17</f>
        <v>-5.0147058823529411</v>
      </c>
      <c r="AF42" s="240">
        <f>expense!AF17</f>
        <v>-5.0147058823529411</v>
      </c>
    </row>
    <row r="43" spans="1:32" s="121" customFormat="1" x14ac:dyDescent="0.2">
      <c r="A43" s="3" t="s">
        <v>237</v>
      </c>
      <c r="B43" s="3" t="s">
        <v>348</v>
      </c>
      <c r="C43" s="24" t="str">
        <f>expense!C18</f>
        <v>n/a</v>
      </c>
      <c r="D43" s="24" t="str">
        <f>expense!D18</f>
        <v>n/a</v>
      </c>
      <c r="E43" s="24" t="str">
        <f>expense!E18</f>
        <v>n/a</v>
      </c>
      <c r="F43" s="24">
        <f>expense!F18</f>
        <v>-10</v>
      </c>
      <c r="G43" s="55">
        <f>expense!G18</f>
        <v>-16</v>
      </c>
      <c r="H43" s="55">
        <f>expense!H18</f>
        <v>-13</v>
      </c>
      <c r="I43" s="55">
        <f>expense!I18</f>
        <v>-1</v>
      </c>
      <c r="J43" s="55">
        <f>expense!J18</f>
        <v>18</v>
      </c>
      <c r="K43" s="55">
        <f>expense!K18</f>
        <v>36</v>
      </c>
      <c r="L43" s="55">
        <f>expense!L18</f>
        <v>39</v>
      </c>
      <c r="M43" s="55">
        <f>expense!M18</f>
        <v>40</v>
      </c>
      <c r="N43" s="55">
        <f>expense!N18</f>
        <v>43</v>
      </c>
      <c r="O43" s="55">
        <f>expense!O18</f>
        <v>44</v>
      </c>
      <c r="P43" s="55">
        <f>expense!P18</f>
        <v>42</v>
      </c>
      <c r="Q43" s="144">
        <f>expense!Q18</f>
        <v>40</v>
      </c>
      <c r="R43" s="144">
        <f>expense!R18</f>
        <v>39</v>
      </c>
      <c r="S43" s="144">
        <f>expense!S18</f>
        <v>36</v>
      </c>
      <c r="T43" s="144">
        <f>expense!T18</f>
        <v>44</v>
      </c>
      <c r="U43" s="144">
        <f>expense!U18</f>
        <v>40</v>
      </c>
      <c r="V43" s="227">
        <f>expense!V18</f>
        <v>36</v>
      </c>
      <c r="W43" s="144">
        <f>expense!W18</f>
        <v>2</v>
      </c>
      <c r="X43" s="144">
        <f>expense!X18</f>
        <v>-18</v>
      </c>
      <c r="Y43" s="144">
        <f>expense!Y18</f>
        <v>-20</v>
      </c>
      <c r="Z43" s="144">
        <f>expense!Z18</f>
        <v>-24</v>
      </c>
      <c r="AA43" s="144">
        <f>expense!AA18</f>
        <v>-25</v>
      </c>
      <c r="AB43" s="373">
        <f>expense!AB18</f>
        <v>-27</v>
      </c>
      <c r="AC43" s="86">
        <f>expense!AC18</f>
        <v>-30</v>
      </c>
      <c r="AD43" s="86">
        <f>expense!AD18</f>
        <v>-29.526283531938638</v>
      </c>
      <c r="AE43" s="86">
        <f>expense!AE18</f>
        <v>-31.073229998744214</v>
      </c>
      <c r="AF43" s="247">
        <f>expense!AF18</f>
        <v>-31.638746497631519</v>
      </c>
    </row>
    <row r="44" spans="1:32" s="121" customFormat="1" x14ac:dyDescent="0.2">
      <c r="A44" s="577" t="s">
        <v>502</v>
      </c>
      <c r="B44" s="3"/>
      <c r="C44" s="55"/>
      <c r="D44" s="55"/>
      <c r="E44" s="55"/>
      <c r="F44" s="55"/>
      <c r="G44" s="24">
        <f>expense!G20</f>
        <v>0</v>
      </c>
      <c r="H44" s="24">
        <f>expense!H20</f>
        <v>0</v>
      </c>
      <c r="I44" s="24">
        <f>expense!I20</f>
        <v>0</v>
      </c>
      <c r="J44" s="24">
        <f>expense!J20</f>
        <v>0</v>
      </c>
      <c r="K44" s="24">
        <f>expense!K20</f>
        <v>0</v>
      </c>
      <c r="L44" s="24">
        <f>expense!L20</f>
        <v>0</v>
      </c>
      <c r="M44" s="24">
        <f>expense!M20</f>
        <v>0</v>
      </c>
      <c r="N44" s="24">
        <f>expense!N20</f>
        <v>336.35936999999967</v>
      </c>
      <c r="O44" s="24">
        <f>expense!O20</f>
        <v>-336.35936999999967</v>
      </c>
      <c r="P44" s="24">
        <f>expense!P20</f>
        <v>1233.2653710000009</v>
      </c>
      <c r="Q44" s="24">
        <f>expense!Q20</f>
        <v>457.75613400000157</v>
      </c>
      <c r="R44" s="24">
        <f>expense!R20</f>
        <v>434.93453299999555</v>
      </c>
      <c r="S44" s="24">
        <f>expense!S20</f>
        <v>435.85659488235297</v>
      </c>
      <c r="T44" s="24">
        <f>expense!T20</f>
        <v>454.40374988235726</v>
      </c>
      <c r="U44" s="24">
        <f>expense!U20</f>
        <v>-3016.2163827647082</v>
      </c>
      <c r="V44" s="24">
        <f>expense!V20</f>
        <v>0</v>
      </c>
      <c r="W44" s="24">
        <f>expense!W20</f>
        <v>3243.1029703403319</v>
      </c>
      <c r="X44" s="24">
        <f>expense!X20</f>
        <v>2438.759971382352</v>
      </c>
      <c r="Y44" s="24">
        <f>expense!Y20</f>
        <v>1441.9692125854863</v>
      </c>
      <c r="Z44" s="24">
        <f>expense!Z20</f>
        <v>586.76775488235489</v>
      </c>
      <c r="AA44" s="24">
        <f>expense!AA20</f>
        <v>956.48250038234437</v>
      </c>
      <c r="AB44" s="24">
        <f>expense!AB20</f>
        <v>1479.9140431823471</v>
      </c>
      <c r="AC44" s="24">
        <f>expense!AC20</f>
        <v>2123.5449559234439</v>
      </c>
      <c r="AD44" s="24">
        <f>expense!AD20</f>
        <v>2558.2912420402645</v>
      </c>
      <c r="AE44" s="24">
        <f>expense!AE20</f>
        <v>2910.8960580798066</v>
      </c>
      <c r="AF44" s="24">
        <f>expense!AF20</f>
        <v>3216.1709591734725</v>
      </c>
    </row>
    <row r="45" spans="1:32" s="215" customFormat="1" ht="16.5" thickBot="1" x14ac:dyDescent="0.3">
      <c r="A45" s="52" t="s">
        <v>220</v>
      </c>
      <c r="B45" s="9" t="s">
        <v>241</v>
      </c>
      <c r="C45" s="54">
        <f t="shared" ref="C45:F45" si="21">SUM(C34:C43)</f>
        <v>632.3175</v>
      </c>
      <c r="D45" s="54">
        <f t="shared" si="21"/>
        <v>744.21499999999992</v>
      </c>
      <c r="E45" s="54">
        <f t="shared" si="21"/>
        <v>678.99624999999992</v>
      </c>
      <c r="F45" s="54">
        <f t="shared" si="21"/>
        <v>399.046875</v>
      </c>
      <c r="G45" s="645">
        <f>SUM(G34:G44)</f>
        <v>490.89374999999995</v>
      </c>
      <c r="H45" s="645">
        <f t="shared" ref="H45:AB45" si="22">SUM(H34:H44)</f>
        <v>496.19374999999991</v>
      </c>
      <c r="I45" s="645">
        <f t="shared" si="22"/>
        <v>374.83750000000009</v>
      </c>
      <c r="J45" s="645">
        <f t="shared" si="22"/>
        <v>464.828125</v>
      </c>
      <c r="K45" s="645">
        <f t="shared" si="22"/>
        <v>136.38937499999997</v>
      </c>
      <c r="L45" s="645">
        <f t="shared" si="22"/>
        <v>-152.8468750000001</v>
      </c>
      <c r="M45" s="645">
        <f t="shared" si="22"/>
        <v>-401.5474999999999</v>
      </c>
      <c r="N45" s="645">
        <f t="shared" si="22"/>
        <v>378.87011999999959</v>
      </c>
      <c r="O45" s="645">
        <f t="shared" si="22"/>
        <v>-98.118971249999618</v>
      </c>
      <c r="P45" s="645">
        <f t="shared" si="22"/>
        <v>1468.0397658750005</v>
      </c>
      <c r="Q45" s="645">
        <f t="shared" si="22"/>
        <v>697.48045556250145</v>
      </c>
      <c r="R45" s="645">
        <f t="shared" si="22"/>
        <v>729.72744149999517</v>
      </c>
      <c r="S45" s="645">
        <f t="shared" si="22"/>
        <v>781.27837850000014</v>
      </c>
      <c r="T45" s="645">
        <f t="shared" si="22"/>
        <v>796.31652162500427</v>
      </c>
      <c r="U45" s="645">
        <f t="shared" si="22"/>
        <v>-2966.2344436470612</v>
      </c>
      <c r="V45" s="645">
        <f t="shared" si="22"/>
        <v>255.10110261764743</v>
      </c>
      <c r="W45" s="645">
        <f t="shared" si="22"/>
        <v>3764.9746864936928</v>
      </c>
      <c r="X45" s="645">
        <f t="shared" si="22"/>
        <v>2961.3371436874995</v>
      </c>
      <c r="Y45" s="645">
        <f t="shared" si="22"/>
        <v>2336.6552000357228</v>
      </c>
      <c r="Z45" s="645">
        <f t="shared" si="22"/>
        <v>1464.741411500002</v>
      </c>
      <c r="AA45" s="645">
        <f t="shared" si="22"/>
        <v>1524.1712892499913</v>
      </c>
      <c r="AB45" s="645">
        <f t="shared" si="22"/>
        <v>1593.0968360499937</v>
      </c>
      <c r="AC45" s="99">
        <f t="shared" ref="AC45:AD45" si="23">SUM(AC34:AC43)</f>
        <v>-452.65816598285755</v>
      </c>
      <c r="AD45" s="99">
        <f t="shared" si="23"/>
        <v>-819.83476177699049</v>
      </c>
      <c r="AE45" s="99">
        <f t="shared" ref="AE45:AF45" si="24">SUM(AE34:AE43)</f>
        <v>-1110.3006855079802</v>
      </c>
      <c r="AF45" s="270">
        <f t="shared" si="24"/>
        <v>-1350.801660794222</v>
      </c>
    </row>
    <row r="46" spans="1:32" s="121" customFormat="1" ht="15.75" thickTop="1" x14ac:dyDescent="0.25">
      <c r="A46" s="3"/>
      <c r="B46" s="3"/>
      <c r="C46" s="3"/>
      <c r="D46" s="3"/>
      <c r="E46" s="3"/>
      <c r="F46" s="3"/>
      <c r="G46" s="3"/>
      <c r="H46" s="3"/>
      <c r="I46" s="3"/>
      <c r="J46" s="3"/>
      <c r="K46" s="3"/>
      <c r="L46" s="3"/>
      <c r="M46" s="3"/>
      <c r="N46" s="3"/>
      <c r="O46" s="3"/>
      <c r="P46" s="3"/>
      <c r="R46" s="156">
        <f t="shared" ref="R46:AD46" si="25">R45*1000000</f>
        <v>729727441.49999511</v>
      </c>
      <c r="S46" s="156">
        <f t="shared" si="25"/>
        <v>781278378.50000012</v>
      </c>
      <c r="T46" s="156">
        <f t="shared" si="25"/>
        <v>796316521.62500429</v>
      </c>
      <c r="U46" s="156">
        <f t="shared" si="25"/>
        <v>-2966234443.6470613</v>
      </c>
      <c r="V46" s="156">
        <f t="shared" si="25"/>
        <v>255101102.61764744</v>
      </c>
      <c r="W46" s="121">
        <f t="shared" si="25"/>
        <v>3764974686.4936929</v>
      </c>
      <c r="X46" s="121">
        <f t="shared" si="25"/>
        <v>2961337143.6874995</v>
      </c>
      <c r="Y46" s="121">
        <f t="shared" si="25"/>
        <v>2336655200.0357227</v>
      </c>
      <c r="Z46" s="380">
        <f t="shared" si="25"/>
        <v>1464741411.5000019</v>
      </c>
      <c r="AA46" s="380">
        <f t="shared" si="25"/>
        <v>1524171289.2499914</v>
      </c>
      <c r="AB46" s="560">
        <f t="shared" si="25"/>
        <v>1593096836.0499938</v>
      </c>
      <c r="AC46" s="315">
        <f t="shared" si="25"/>
        <v>-452658165.98285753</v>
      </c>
      <c r="AD46" s="315">
        <f t="shared" si="25"/>
        <v>-819834761.77699053</v>
      </c>
      <c r="AE46" s="315">
        <f t="shared" ref="AE46:AF46" si="26">AE45*1000000</f>
        <v>-1110300685.5079803</v>
      </c>
      <c r="AF46" s="315">
        <f t="shared" si="26"/>
        <v>-1350801660.7942221</v>
      </c>
    </row>
    <row r="47" spans="1:32" s="121" customFormat="1" x14ac:dyDescent="0.2">
      <c r="A47" s="3"/>
      <c r="B47" s="3"/>
      <c r="C47" s="3"/>
      <c r="D47" s="3"/>
      <c r="E47" s="3"/>
      <c r="F47" s="3"/>
      <c r="G47" s="3"/>
      <c r="H47" s="3"/>
      <c r="I47" s="3"/>
      <c r="J47" s="3"/>
      <c r="K47" s="3"/>
      <c r="L47" s="3"/>
      <c r="M47" s="3"/>
      <c r="N47" s="3"/>
      <c r="O47" s="3"/>
      <c r="P47" s="3"/>
      <c r="X47" s="146"/>
      <c r="Y47" s="146" t="s">
        <v>413</v>
      </c>
      <c r="Z47" s="121">
        <v>-5000000</v>
      </c>
      <c r="AA47" s="121">
        <v>-3000000</v>
      </c>
      <c r="AB47" s="121">
        <v>-3000000</v>
      </c>
      <c r="AC47" s="79"/>
      <c r="AD47" s="79"/>
      <c r="AE47" s="79"/>
      <c r="AF47" s="240"/>
    </row>
    <row r="48" spans="1:32" ht="15" x14ac:dyDescent="0.35">
      <c r="A48" s="41" t="s">
        <v>288</v>
      </c>
      <c r="Y48" s="321" t="s">
        <v>414</v>
      </c>
      <c r="Z48" s="381">
        <f>Z46+Z47</f>
        <v>1459741411.5000019</v>
      </c>
      <c r="AA48" s="381">
        <f>AA46+AA47</f>
        <v>1521171289.2499914</v>
      </c>
      <c r="AB48" s="561">
        <f>AB46+AB47</f>
        <v>1590096836.0499938</v>
      </c>
      <c r="AC48" s="85"/>
      <c r="AD48" s="85"/>
      <c r="AE48" s="85"/>
      <c r="AF48" s="246"/>
    </row>
    <row r="49" spans="1:32" s="121" customFormat="1" x14ac:dyDescent="0.2">
      <c r="A49" s="3" t="s">
        <v>220</v>
      </c>
      <c r="B49" s="3" t="s">
        <v>66</v>
      </c>
      <c r="C49" s="3">
        <f>+C45</f>
        <v>632.3175</v>
      </c>
      <c r="D49" s="3">
        <f t="shared" ref="D49:N49" si="27">+D45</f>
        <v>744.21499999999992</v>
      </c>
      <c r="E49" s="3">
        <f t="shared" si="27"/>
        <v>678.99624999999992</v>
      </c>
      <c r="F49" s="3">
        <f t="shared" si="27"/>
        <v>399.046875</v>
      </c>
      <c r="G49" s="3">
        <f t="shared" si="27"/>
        <v>490.89374999999995</v>
      </c>
      <c r="H49" s="3">
        <f t="shared" si="27"/>
        <v>496.19374999999991</v>
      </c>
      <c r="I49" s="3">
        <f t="shared" si="27"/>
        <v>374.83750000000009</v>
      </c>
      <c r="J49" s="3">
        <f t="shared" si="27"/>
        <v>464.828125</v>
      </c>
      <c r="K49" s="3">
        <f t="shared" si="27"/>
        <v>136.38937499999997</v>
      </c>
      <c r="L49" s="3">
        <f t="shared" si="27"/>
        <v>-152.8468750000001</v>
      </c>
      <c r="M49" s="3">
        <f t="shared" si="27"/>
        <v>-401.5474999999999</v>
      </c>
      <c r="N49" s="3">
        <f t="shared" si="27"/>
        <v>378.87011999999959</v>
      </c>
      <c r="O49" s="3">
        <f t="shared" ref="O49:U49" si="28">+O45</f>
        <v>-98.118971249999618</v>
      </c>
      <c r="P49" s="3">
        <f t="shared" si="28"/>
        <v>1468.0397658750005</v>
      </c>
      <c r="Q49" s="121">
        <f t="shared" si="28"/>
        <v>697.48045556250145</v>
      </c>
      <c r="R49" s="121">
        <f t="shared" si="28"/>
        <v>729.72744149999517</v>
      </c>
      <c r="S49" s="121">
        <f t="shared" si="28"/>
        <v>781.27837850000014</v>
      </c>
      <c r="T49" s="121">
        <f t="shared" si="28"/>
        <v>796.31652162500427</v>
      </c>
      <c r="U49" s="121">
        <f t="shared" si="28"/>
        <v>-2966.2344436470612</v>
      </c>
      <c r="V49" s="121">
        <f t="shared" ref="V49:AA49" si="29">+V45</f>
        <v>255.10110261764743</v>
      </c>
      <c r="W49" s="121">
        <f t="shared" si="29"/>
        <v>3764.9746864936928</v>
      </c>
      <c r="X49" s="121">
        <f t="shared" si="29"/>
        <v>2961.3371436874995</v>
      </c>
      <c r="Y49" s="121">
        <f t="shared" si="29"/>
        <v>2336.6552000357228</v>
      </c>
      <c r="Z49" s="106">
        <f t="shared" si="29"/>
        <v>1464.741411500002</v>
      </c>
      <c r="AA49" s="121">
        <f t="shared" si="29"/>
        <v>1524.1712892499913</v>
      </c>
      <c r="AB49" s="344">
        <f>+AB45</f>
        <v>1593.0968360499937</v>
      </c>
      <c r="AC49" s="79">
        <f>+AC45</f>
        <v>-452.65816598285755</v>
      </c>
      <c r="AD49" s="79">
        <f>+AD45</f>
        <v>-819.83476177699049</v>
      </c>
      <c r="AE49" s="79">
        <f>+AE45</f>
        <v>-1110.3006855079802</v>
      </c>
      <c r="AF49" s="240">
        <f>+AF45</f>
        <v>-1350.801660794222</v>
      </c>
    </row>
    <row r="50" spans="1:32" s="121" customFormat="1" x14ac:dyDescent="0.2">
      <c r="A50" s="3" t="s">
        <v>289</v>
      </c>
      <c r="B50" s="3" t="s">
        <v>287</v>
      </c>
      <c r="C50" s="6">
        <f>'Data Input'!D46*-1</f>
        <v>-655</v>
      </c>
      <c r="D50" s="6">
        <f>'Data Input'!E46*-1</f>
        <v>-872</v>
      </c>
      <c r="E50" s="6">
        <f>'Data Input'!F46*-1</f>
        <v>-933</v>
      </c>
      <c r="F50" s="6">
        <f>'Data Input'!G46*-1</f>
        <v>-441</v>
      </c>
      <c r="G50" s="6">
        <f>'Data Input'!H46*-1</f>
        <v>-566</v>
      </c>
      <c r="H50" s="125">
        <f>'Data Input'!I46*-1-'RCA data'!C34</f>
        <v>-686</v>
      </c>
      <c r="I50" s="125">
        <f>'Data Input'!J46*-1-'RCA data'!D34</f>
        <v>-926</v>
      </c>
      <c r="J50" s="125">
        <f>'Data Input'!K46*-1-'RCA data'!E34</f>
        <v>-1132</v>
      </c>
      <c r="K50" s="125">
        <f>'Data Input'!L46*-1-'RCA data'!F34</f>
        <v>-1109</v>
      </c>
      <c r="L50" s="125">
        <f>'Data Input'!M46*-1-'RCA data'!G34</f>
        <v>-667</v>
      </c>
      <c r="M50" s="125">
        <f>'Data Input'!N46*-1-'RCA data'!H34</f>
        <v>-635</v>
      </c>
      <c r="N50" s="125">
        <f>'Data Input'!O46*-1-'RCA data'!I34</f>
        <v>-645.03436999999997</v>
      </c>
      <c r="O50" s="125">
        <f>'Data Input'!P46*-1-'RCA data'!J34</f>
        <v>-676.24282600000004</v>
      </c>
      <c r="P50" s="125">
        <f>'Data Input'!Q46*-1-'RCA data'!K34</f>
        <v>-684.943175</v>
      </c>
      <c r="Q50" s="125">
        <f>'Data Input'!R46*-1-'RCA data'!L34</f>
        <v>-709.86459278000007</v>
      </c>
      <c r="R50" s="125">
        <f>'Data Input'!S46*-1-'RCA data'!M34</f>
        <v>-741.48453299999994</v>
      </c>
      <c r="S50" s="125">
        <f>'Data Input'!T46*-1-'RCA data'!N34</f>
        <v>-797.03366590999997</v>
      </c>
      <c r="T50" s="125">
        <f>'Data Input'!U46*-1-'RCA data'!O34</f>
        <v>-808.96671099999992</v>
      </c>
      <c r="U50" s="125">
        <f>'Data Input'!V46*-1-'RCA data'!P34</f>
        <v>-1072.5734319999999</v>
      </c>
      <c r="V50" s="125">
        <f>'Data Input'!W46*-1-'RCA data'!Q34</f>
        <v>-1246.11346366</v>
      </c>
      <c r="W50" s="125">
        <f>'Data Input'!X46*-1-'RCA data'!R34</f>
        <v>-1318.4009160000001</v>
      </c>
      <c r="X50" s="125">
        <f>'Data Input'!Y46*-1-'RCA data'!S34</f>
        <v>-1346.195416</v>
      </c>
      <c r="Y50" s="125">
        <f>'Data Input'!Z46*-1-'RCA data'!T34</f>
        <v>-1395.52219311</v>
      </c>
      <c r="Z50" s="125">
        <f>'Data Input'!AA46*-1-'RCA data'!U34</f>
        <v>-1466.1618190000002</v>
      </c>
      <c r="AA50" s="125">
        <f>'Data Input'!AB46*-1-'RCA data'!V34</f>
        <v>-1530.930482</v>
      </c>
      <c r="AB50" s="345">
        <f>'Data Input'!AC46*-1-'RCA data'!W34</f>
        <v>-1600.9070463</v>
      </c>
      <c r="AC50" s="81">
        <f>'Data Input'!AD46*-1-'RCA data'!X34</f>
        <v>-1666.9120079905738</v>
      </c>
      <c r="AD50" s="81">
        <f>'Data Input'!AE46*-1-'RCA data'!Y34</f>
        <v>-1735.4365180831569</v>
      </c>
      <c r="AE50" s="81">
        <f>'Data Input'!AF46*-1-'RCA data'!Z34</f>
        <v>-1797.0289698082915</v>
      </c>
      <c r="AF50" s="241">
        <f>'Data Input'!AG46*-1-'RCA data'!AA34</f>
        <v>-1860.7551458725352</v>
      </c>
    </row>
    <row r="51" spans="1:32" s="216" customFormat="1" ht="15" thickBot="1" x14ac:dyDescent="0.25">
      <c r="A51" s="59" t="s">
        <v>290</v>
      </c>
      <c r="B51" s="60" t="s">
        <v>31</v>
      </c>
      <c r="C51" s="61">
        <f>SUM(C49:C50)</f>
        <v>-22.682500000000005</v>
      </c>
      <c r="D51" s="61">
        <f t="shared" ref="D51:Q51" si="30">SUM(D49:D50)</f>
        <v>-127.78500000000008</v>
      </c>
      <c r="E51" s="61">
        <f t="shared" si="30"/>
        <v>-254.00375000000008</v>
      </c>
      <c r="F51" s="61">
        <f t="shared" si="30"/>
        <v>-41.953125</v>
      </c>
      <c r="G51" s="61">
        <f t="shared" si="30"/>
        <v>-75.106250000000045</v>
      </c>
      <c r="H51" s="61">
        <f t="shared" si="30"/>
        <v>-189.80625000000009</v>
      </c>
      <c r="I51" s="61">
        <f t="shared" si="30"/>
        <v>-551.16249999999991</v>
      </c>
      <c r="J51" s="61">
        <f t="shared" si="30"/>
        <v>-667.171875</v>
      </c>
      <c r="K51" s="61">
        <f t="shared" si="30"/>
        <v>-972.61062500000003</v>
      </c>
      <c r="L51" s="61">
        <f t="shared" si="30"/>
        <v>-819.84687500000007</v>
      </c>
      <c r="M51" s="61">
        <f t="shared" si="30"/>
        <v>-1036.5474999999999</v>
      </c>
      <c r="N51" s="61">
        <f t="shared" si="30"/>
        <v>-266.16425000000038</v>
      </c>
      <c r="O51" s="61">
        <f t="shared" si="30"/>
        <v>-774.36179724999965</v>
      </c>
      <c r="P51" s="61">
        <f t="shared" si="30"/>
        <v>783.09659087500052</v>
      </c>
      <c r="Q51" s="152">
        <f t="shared" si="30"/>
        <v>-12.384137217498619</v>
      </c>
      <c r="R51" s="152">
        <f t="shared" ref="R51:AD51" si="31">SUM(R49:R50)</f>
        <v>-11.757091500004776</v>
      </c>
      <c r="S51" s="152">
        <f t="shared" si="31"/>
        <v>-15.755287409999823</v>
      </c>
      <c r="T51" s="152">
        <f t="shared" si="31"/>
        <v>-12.650189374995648</v>
      </c>
      <c r="U51" s="152">
        <f t="shared" si="31"/>
        <v>-4038.8078756470613</v>
      </c>
      <c r="V51" s="152">
        <f t="shared" si="31"/>
        <v>-991.0123610423525</v>
      </c>
      <c r="W51" s="152">
        <f t="shared" si="31"/>
        <v>2446.5737704936928</v>
      </c>
      <c r="X51" s="152">
        <f t="shared" si="31"/>
        <v>1615.1417276874995</v>
      </c>
      <c r="Y51" s="152">
        <f t="shared" si="31"/>
        <v>941.13300692572284</v>
      </c>
      <c r="Z51" s="152">
        <f t="shared" si="31"/>
        <v>-1.4204074999981913</v>
      </c>
      <c r="AA51" s="152">
        <f t="shared" si="31"/>
        <v>-6.7591927500086513</v>
      </c>
      <c r="AB51" s="379">
        <f t="shared" si="31"/>
        <v>-7.8102102500063211</v>
      </c>
      <c r="AC51" s="107">
        <f t="shared" si="31"/>
        <v>-2119.5701739734313</v>
      </c>
      <c r="AD51" s="107">
        <f t="shared" si="31"/>
        <v>-2555.2712798601474</v>
      </c>
      <c r="AE51" s="107">
        <f t="shared" ref="AE51:AF51" si="32">SUM(AE49:AE50)</f>
        <v>-2907.3296553162718</v>
      </c>
      <c r="AF51" s="284">
        <f t="shared" si="32"/>
        <v>-3211.5568066667574</v>
      </c>
    </row>
    <row r="52" spans="1:32" ht="13.5" thickTop="1" x14ac:dyDescent="0.2">
      <c r="Y52" s="106"/>
      <c r="Z52" s="106"/>
      <c r="AA52" s="106"/>
      <c r="AB52" s="348"/>
      <c r="AC52" s="85"/>
      <c r="AD52" s="85"/>
      <c r="AE52" s="85"/>
      <c r="AF52" s="246"/>
    </row>
    <row r="54" spans="1:32" x14ac:dyDescent="0.2">
      <c r="A54" t="s">
        <v>291</v>
      </c>
      <c r="D54" s="22"/>
      <c r="G54" s="22">
        <f>F17+G51-G17</f>
        <v>0</v>
      </c>
      <c r="H54" s="22">
        <f>G19+H51-H19</f>
        <v>0</v>
      </c>
      <c r="I54" s="22">
        <f t="shared" ref="I54:AB54" si="33">H19+I51-I19</f>
        <v>0</v>
      </c>
      <c r="J54" s="22">
        <f t="shared" si="33"/>
        <v>0</v>
      </c>
      <c r="K54" s="22">
        <f t="shared" si="33"/>
        <v>0</v>
      </c>
      <c r="L54" s="22">
        <f t="shared" si="33"/>
        <v>4.0927261579781771E-12</v>
      </c>
      <c r="M54" s="22">
        <f t="shared" si="33"/>
        <v>-0.21125000000256478</v>
      </c>
      <c r="N54" s="22">
        <f t="shared" si="33"/>
        <v>2.71124999999995</v>
      </c>
      <c r="O54" s="22">
        <f t="shared" si="33"/>
        <v>1.3642420526593924E-12</v>
      </c>
      <c r="P54" s="22">
        <f t="shared" si="33"/>
        <v>0.89139487499835468</v>
      </c>
      <c r="Q54" s="22">
        <f t="shared" si="33"/>
        <v>0.46836278250225405</v>
      </c>
      <c r="R54" s="22">
        <f t="shared" si="33"/>
        <v>1.0719084999933557</v>
      </c>
      <c r="S54" s="22">
        <f t="shared" si="33"/>
        <v>-0.30528740999568527</v>
      </c>
      <c r="T54" s="22">
        <f t="shared" si="33"/>
        <v>1.3953106250045266</v>
      </c>
      <c r="U54" s="22">
        <f t="shared" si="33"/>
        <v>0.90721299999404437</v>
      </c>
      <c r="V54" s="22">
        <f t="shared" si="33"/>
        <v>0.23223434000465204</v>
      </c>
      <c r="W54" s="22">
        <f t="shared" si="33"/>
        <v>1.0424097500017524</v>
      </c>
      <c r="X54" s="22">
        <f t="shared" si="33"/>
        <v>0.14735218750092827</v>
      </c>
      <c r="Y54" s="22">
        <f t="shared" si="33"/>
        <v>1.4945591400000922</v>
      </c>
      <c r="Z54" s="22">
        <f t="shared" si="33"/>
        <v>2.1780925000018669</v>
      </c>
      <c r="AA54" s="22">
        <f t="shared" si="33"/>
        <v>-0.89069275000451853</v>
      </c>
      <c r="AB54" s="22">
        <f t="shared" si="33"/>
        <v>2.7017897499815717</v>
      </c>
      <c r="AC54" s="85">
        <f>AB17+AC51-AC17</f>
        <v>3.2170282000242878</v>
      </c>
      <c r="AD54" s="85">
        <f>AC17+AD51-AD17</f>
        <v>3.3087527691695868</v>
      </c>
      <c r="AE54" s="85">
        <f>AD17+AE51-AE17</f>
        <v>3.4046965641173301</v>
      </c>
      <c r="AF54" s="246">
        <f>AE17+AF51-AF17</f>
        <v>3.5050255491732969</v>
      </c>
    </row>
    <row r="56" spans="1:32" x14ac:dyDescent="0.2">
      <c r="X56" s="303"/>
    </row>
    <row r="57" spans="1:32" x14ac:dyDescent="0.2">
      <c r="W57" s="303"/>
      <c r="Y57" s="106"/>
      <c r="Z57" s="106"/>
    </row>
  </sheetData>
  <phoneticPr fontId="0" type="noConversion"/>
  <pageMargins left="0.51181102362204722" right="0.51181102362204722" top="0.98425196850393704" bottom="0.98425196850393704" header="0.51181102362204722" footer="0.51181102362204722"/>
  <pageSetup paperSize="5" scale="74" orientation="landscape" cellComments="asDisplayed" r:id="rId1"/>
  <headerFooter alignWithMargins="0">
    <oddFooter>&amp;L&amp;"Arial,Bold"&amp;F&amp;C&amp;A&amp;R&amp;D  &amp;T</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R71"/>
  <sheetViews>
    <sheetView workbookViewId="0">
      <pane ySplit="3" topLeftCell="A4" activePane="bottomLeft" state="frozen"/>
      <selection pane="bottomLeft" activeCell="C37" sqref="C37"/>
    </sheetView>
  </sheetViews>
  <sheetFormatPr baseColWidth="10" defaultColWidth="9.140625" defaultRowHeight="12.75" outlineLevelRow="1" x14ac:dyDescent="0.2"/>
  <cols>
    <col min="1" max="1" width="2.85546875" customWidth="1"/>
    <col min="2" max="2" width="58.28515625" customWidth="1"/>
    <col min="3" max="3" width="16.5703125" bestFit="1" customWidth="1"/>
    <col min="4" max="4" width="15.5703125" bestFit="1" customWidth="1"/>
    <col min="5" max="5" width="15" bestFit="1" customWidth="1"/>
    <col min="6" max="6" width="3.28515625" customWidth="1"/>
    <col min="7" max="7" width="7.7109375" customWidth="1"/>
    <col min="8" max="8" width="8" customWidth="1"/>
    <col min="9" max="9" width="3.28515625" customWidth="1"/>
    <col min="10" max="10" width="7.7109375" customWidth="1"/>
    <col min="11" max="11" width="7.85546875" customWidth="1"/>
    <col min="12" max="12" width="3.7109375" customWidth="1"/>
    <col min="16" max="16" width="14.5703125" bestFit="1" customWidth="1"/>
    <col min="17" max="17" width="12.85546875" bestFit="1" customWidth="1"/>
    <col min="18" max="18" width="14.5703125" bestFit="1" customWidth="1"/>
  </cols>
  <sheetData>
    <row r="1" spans="1:12" x14ac:dyDescent="0.2">
      <c r="A1" s="2" t="s">
        <v>373</v>
      </c>
      <c r="B1" s="2"/>
    </row>
    <row r="2" spans="1:12" x14ac:dyDescent="0.2">
      <c r="A2" s="2" t="s">
        <v>374</v>
      </c>
      <c r="B2" s="2"/>
    </row>
    <row r="3" spans="1:12" x14ac:dyDescent="0.2">
      <c r="A3" s="44" t="s">
        <v>466</v>
      </c>
      <c r="B3" s="2"/>
    </row>
    <row r="4" spans="1:12" x14ac:dyDescent="0.2">
      <c r="C4" s="335" t="s">
        <v>375</v>
      </c>
      <c r="D4" s="334"/>
      <c r="E4" s="335"/>
      <c r="G4" s="649" t="s">
        <v>377</v>
      </c>
      <c r="H4" s="649"/>
      <c r="I4" s="16"/>
      <c r="J4" s="649" t="s">
        <v>378</v>
      </c>
      <c r="K4" s="649"/>
    </row>
    <row r="5" spans="1:12" x14ac:dyDescent="0.2">
      <c r="C5" s="335" t="s">
        <v>376</v>
      </c>
      <c r="D5" s="335">
        <v>2016</v>
      </c>
      <c r="E5" s="335">
        <v>2015</v>
      </c>
      <c r="G5" s="285" t="s">
        <v>379</v>
      </c>
      <c r="H5" s="285" t="s">
        <v>380</v>
      </c>
      <c r="J5" s="285" t="s">
        <v>379</v>
      </c>
      <c r="K5" s="285" t="s">
        <v>380</v>
      </c>
    </row>
    <row r="6" spans="1:12" x14ac:dyDescent="0.2">
      <c r="C6" s="115"/>
      <c r="D6" s="115"/>
    </row>
    <row r="7" spans="1:12" x14ac:dyDescent="0.2">
      <c r="B7" s="3" t="s">
        <v>218</v>
      </c>
      <c r="C7" s="121">
        <v>1412</v>
      </c>
      <c r="D7" s="121">
        <f>ROUND(Summary!AB34,)</f>
        <v>1455</v>
      </c>
      <c r="E7" s="121">
        <f>ROUND(Summary!AA34,)</f>
        <v>1465</v>
      </c>
      <c r="G7" s="121">
        <f>D7-E7</f>
        <v>-10</v>
      </c>
      <c r="H7" s="286">
        <f>G7/E7</f>
        <v>-6.8259385665529011E-3</v>
      </c>
      <c r="J7" s="121">
        <f>D7-C7</f>
        <v>43</v>
      </c>
      <c r="K7" s="286">
        <f>J7/C7</f>
        <v>3.0453257790368272E-2</v>
      </c>
      <c r="L7" s="292" t="s">
        <v>383</v>
      </c>
    </row>
    <row r="8" spans="1:12" x14ac:dyDescent="0.2">
      <c r="B8" s="3" t="s">
        <v>219</v>
      </c>
      <c r="C8" s="130">
        <v>-373</v>
      </c>
      <c r="D8" s="130">
        <f>ROUND(Summary!AB35,0)</f>
        <v>-374</v>
      </c>
      <c r="E8" s="121">
        <f>ROUND(Summary!AA35,0)</f>
        <v>-164</v>
      </c>
      <c r="G8" s="121">
        <f t="shared" ref="G8:G16" si="0">D8-E8</f>
        <v>-210</v>
      </c>
      <c r="H8" s="286">
        <f>G8/E8</f>
        <v>1.2804878048780488</v>
      </c>
      <c r="I8" s="292" t="s">
        <v>384</v>
      </c>
      <c r="J8" s="121">
        <f>D8-C8</f>
        <v>-1</v>
      </c>
      <c r="K8" s="286">
        <f>J8/C8</f>
        <v>2.6809651474530832E-3</v>
      </c>
    </row>
    <row r="9" spans="1:12" x14ac:dyDescent="0.2">
      <c r="B9" s="3" t="s">
        <v>390</v>
      </c>
      <c r="C9" s="130">
        <v>-935</v>
      </c>
      <c r="D9" s="130">
        <f>ROUND(Summary!AB36,0)</f>
        <v>-936</v>
      </c>
      <c r="E9" s="121">
        <f>ROUND(Summary!AA36,0)</f>
        <v>-703</v>
      </c>
      <c r="G9" s="121">
        <f t="shared" si="0"/>
        <v>-233</v>
      </c>
      <c r="H9" s="286">
        <f>G9/E9</f>
        <v>0.33143669985775248</v>
      </c>
      <c r="I9" s="292" t="s">
        <v>384</v>
      </c>
      <c r="J9" s="121">
        <f>D9-C9</f>
        <v>-1</v>
      </c>
      <c r="K9" s="286">
        <f>J9/C9</f>
        <v>1.0695187165775401E-3</v>
      </c>
    </row>
    <row r="10" spans="1:12" x14ac:dyDescent="0.2">
      <c r="B10" s="3" t="s">
        <v>222</v>
      </c>
      <c r="C10" s="121"/>
      <c r="D10" s="121">
        <f>ROUND(Summary!AB37,0)</f>
        <v>0</v>
      </c>
      <c r="E10" s="121">
        <f>ROUND(Summary!AA37,0)</f>
        <v>0</v>
      </c>
      <c r="G10" s="121">
        <f t="shared" si="0"/>
        <v>0</v>
      </c>
      <c r="H10" s="121"/>
      <c r="I10" s="293"/>
      <c r="J10" s="121"/>
      <c r="K10" s="121"/>
    </row>
    <row r="11" spans="1:12" x14ac:dyDescent="0.2">
      <c r="B11" s="3" t="s">
        <v>206</v>
      </c>
      <c r="C11" s="121"/>
      <c r="D11" s="121">
        <f>ROUND(Summary!AB38,0)</f>
        <v>0</v>
      </c>
      <c r="E11" s="121">
        <f>ROUND(Summary!AA38,0)</f>
        <v>0</v>
      </c>
      <c r="G11" s="121">
        <f t="shared" si="0"/>
        <v>0</v>
      </c>
      <c r="H11" s="121"/>
      <c r="I11" s="293"/>
      <c r="J11" s="121"/>
      <c r="K11" s="121"/>
    </row>
    <row r="12" spans="1:12" outlineLevel="1" x14ac:dyDescent="0.2">
      <c r="B12" s="121" t="s">
        <v>284</v>
      </c>
      <c r="C12" s="121"/>
      <c r="D12" s="121">
        <f>ROUND(Summary!AB39,0)</f>
        <v>0</v>
      </c>
      <c r="E12" s="121">
        <f>ROUND(Summary!AA39,0)</f>
        <v>0</v>
      </c>
      <c r="G12" s="121">
        <f t="shared" si="0"/>
        <v>0</v>
      </c>
      <c r="H12" s="121"/>
      <c r="I12" s="293"/>
      <c r="J12" s="121"/>
      <c r="K12" s="121"/>
    </row>
    <row r="13" spans="1:12" x14ac:dyDescent="0.2">
      <c r="B13" s="121" t="s">
        <v>247</v>
      </c>
      <c r="C13" s="121"/>
      <c r="D13" s="121">
        <f>ROUND(Summary!AB40,0)</f>
        <v>0</v>
      </c>
      <c r="E13" s="121">
        <f>ROUND(Summary!AA40,0)</f>
        <v>0</v>
      </c>
      <c r="G13" s="121">
        <f t="shared" si="0"/>
        <v>0</v>
      </c>
      <c r="H13" s="121"/>
      <c r="I13" s="293"/>
      <c r="J13" s="121"/>
      <c r="K13" s="121"/>
    </row>
    <row r="14" spans="1:12" outlineLevel="1" x14ac:dyDescent="0.2">
      <c r="B14" s="121" t="s">
        <v>246</v>
      </c>
      <c r="C14" s="121"/>
      <c r="D14" s="121">
        <f>ROUND(Summary!AB41,0)</f>
        <v>0</v>
      </c>
      <c r="E14" s="121">
        <f>ROUND(Summary!AA41,0)</f>
        <v>0</v>
      </c>
      <c r="G14" s="121">
        <f t="shared" si="0"/>
        <v>0</v>
      </c>
      <c r="H14" s="121"/>
      <c r="I14" s="293"/>
      <c r="J14" s="121"/>
      <c r="K14" s="121"/>
    </row>
    <row r="15" spans="1:12" x14ac:dyDescent="0.2">
      <c r="B15" s="121" t="s">
        <v>342</v>
      </c>
      <c r="C15" s="121">
        <v>-6</v>
      </c>
      <c r="D15" s="121">
        <f>ROUND(Summary!AB42,0)</f>
        <v>-6</v>
      </c>
      <c r="E15" s="121">
        <f>ROUND(Summary!AA42,0)</f>
        <v>-6</v>
      </c>
      <c r="G15" s="121">
        <f t="shared" si="0"/>
        <v>0</v>
      </c>
      <c r="H15" s="286">
        <f>G15/E15</f>
        <v>0</v>
      </c>
      <c r="I15" s="293"/>
      <c r="J15" s="121">
        <f>D15-C15</f>
        <v>0</v>
      </c>
      <c r="K15" s="286">
        <f>J15/C15</f>
        <v>0</v>
      </c>
    </row>
    <row r="16" spans="1:12" x14ac:dyDescent="0.2">
      <c r="B16" s="121" t="s">
        <v>237</v>
      </c>
      <c r="C16" s="144">
        <v>-27</v>
      </c>
      <c r="D16" s="144">
        <f>ROUND(Summary!AB43,0)</f>
        <v>-27</v>
      </c>
      <c r="E16" s="121">
        <f>ROUND(Summary!AA43,0)</f>
        <v>-25</v>
      </c>
      <c r="G16" s="121">
        <f t="shared" si="0"/>
        <v>-2</v>
      </c>
      <c r="H16" s="286">
        <f>G16/E16</f>
        <v>0.08</v>
      </c>
      <c r="I16" s="292"/>
      <c r="J16" s="121">
        <f>D16-C16</f>
        <v>0</v>
      </c>
      <c r="K16" s="286">
        <f>J16/C16</f>
        <v>0</v>
      </c>
    </row>
    <row r="17" spans="2:12" x14ac:dyDescent="0.2">
      <c r="B17" s="301" t="s">
        <v>417</v>
      </c>
      <c r="C17" s="144"/>
      <c r="D17" s="144">
        <v>-2</v>
      </c>
      <c r="E17" s="144">
        <f>-3+1</f>
        <v>-2</v>
      </c>
      <c r="G17" s="121">
        <f t="shared" ref="G17" si="1">D17-E17</f>
        <v>0</v>
      </c>
      <c r="H17" s="286">
        <f>G17/E17</f>
        <v>0</v>
      </c>
      <c r="I17" s="292"/>
      <c r="J17" s="121">
        <f>D17-C17</f>
        <v>-2</v>
      </c>
      <c r="K17" s="286" t="e">
        <f>J17/C17</f>
        <v>#DIV/0!</v>
      </c>
    </row>
    <row r="18" spans="2:12" x14ac:dyDescent="0.2">
      <c r="B18" s="301" t="s">
        <v>474</v>
      </c>
      <c r="C18" s="144"/>
      <c r="D18" s="144">
        <f>ROUND(Summary!AB44,0)</f>
        <v>1480</v>
      </c>
      <c r="E18" s="144">
        <f>ROUND(Summary!AA44,0)</f>
        <v>956</v>
      </c>
      <c r="G18" s="121"/>
      <c r="H18" s="286"/>
      <c r="I18" s="292"/>
      <c r="J18" s="121"/>
      <c r="K18" s="286"/>
    </row>
    <row r="19" spans="2:12" ht="15.75" thickBot="1" x14ac:dyDescent="0.25">
      <c r="B19" s="52" t="s">
        <v>306</v>
      </c>
      <c r="C19" s="149">
        <f>SUM(C7:C16)</f>
        <v>71</v>
      </c>
      <c r="D19" s="149">
        <f>SUM(D7:D18)</f>
        <v>1590</v>
      </c>
      <c r="E19" s="149">
        <f>SUM(E7:E18)</f>
        <v>1521</v>
      </c>
      <c r="G19" s="66">
        <f>SUM(G7:G17)</f>
        <v>-455</v>
      </c>
      <c r="H19" s="287">
        <f>G19/E19</f>
        <v>-0.29914529914529914</v>
      </c>
      <c r="I19" s="293"/>
      <c r="J19" s="66">
        <f>SUM(J7:J17)</f>
        <v>39</v>
      </c>
      <c r="K19" s="287">
        <f>J19/C19</f>
        <v>0.54929577464788737</v>
      </c>
      <c r="L19" s="288" t="s">
        <v>381</v>
      </c>
    </row>
    <row r="20" spans="2:12" ht="13.5" thickTop="1" x14ac:dyDescent="0.2">
      <c r="C20" s="115"/>
      <c r="D20" s="115"/>
      <c r="I20" s="293"/>
    </row>
    <row r="21" spans="2:12" x14ac:dyDescent="0.2">
      <c r="C21" s="115"/>
      <c r="D21" s="334"/>
      <c r="E21" s="285"/>
      <c r="G21" s="649" t="s">
        <v>377</v>
      </c>
      <c r="H21" s="649"/>
      <c r="I21" s="293"/>
    </row>
    <row r="22" spans="2:12" x14ac:dyDescent="0.2">
      <c r="C22" s="115"/>
      <c r="D22" s="335">
        <v>2016</v>
      </c>
      <c r="E22" s="335">
        <v>2015</v>
      </c>
      <c r="G22" s="285" t="s">
        <v>379</v>
      </c>
      <c r="H22" s="285" t="s">
        <v>380</v>
      </c>
      <c r="I22" s="293"/>
    </row>
    <row r="23" spans="2:12" x14ac:dyDescent="0.2">
      <c r="C23" s="115"/>
      <c r="D23" s="335"/>
      <c r="E23" s="335"/>
      <c r="G23" s="285"/>
      <c r="H23" s="285"/>
      <c r="I23" s="293"/>
    </row>
    <row r="24" spans="2:12" x14ac:dyDescent="0.2">
      <c r="B24" s="3" t="s">
        <v>197</v>
      </c>
      <c r="C24" s="127"/>
      <c r="D24" s="121">
        <f>ROUND(Summary!AB8,0)</f>
        <v>58338</v>
      </c>
      <c r="E24" s="121">
        <f>Summary!AA8</f>
        <v>57065.5</v>
      </c>
      <c r="G24" s="121">
        <f>D24-E24</f>
        <v>1272.5</v>
      </c>
      <c r="H24" s="286">
        <f>G24/E24</f>
        <v>2.2298937186215839E-2</v>
      </c>
      <c r="I24" s="292" t="s">
        <v>385</v>
      </c>
      <c r="J24" s="127"/>
      <c r="K24" s="290"/>
    </row>
    <row r="25" spans="2:12" hidden="1" outlineLevel="1" x14ac:dyDescent="0.2">
      <c r="B25" s="3" t="s">
        <v>206</v>
      </c>
      <c r="C25" s="127"/>
      <c r="D25" s="121">
        <f>Summary!X9</f>
        <v>0</v>
      </c>
      <c r="E25" s="121">
        <f>Summary!W9</f>
        <v>0</v>
      </c>
      <c r="G25" s="121">
        <f t="shared" ref="G25:G32" si="2">D25-E25</f>
        <v>0</v>
      </c>
      <c r="H25" s="286" t="e">
        <f t="shared" ref="H25:H30" si="3">G25/E25</f>
        <v>#DIV/0!</v>
      </c>
      <c r="I25" s="293"/>
      <c r="J25" s="127"/>
      <c r="K25" s="290"/>
    </row>
    <row r="26" spans="2:12" hidden="1" outlineLevel="1" x14ac:dyDescent="0.2">
      <c r="B26" s="3" t="s">
        <v>284</v>
      </c>
      <c r="C26" s="127"/>
      <c r="D26" s="121">
        <f>Summary!X10</f>
        <v>0</v>
      </c>
      <c r="E26" s="121">
        <f>Summary!W10</f>
        <v>0</v>
      </c>
      <c r="G26" s="121">
        <f t="shared" si="2"/>
        <v>0</v>
      </c>
      <c r="H26" s="286" t="e">
        <f t="shared" si="3"/>
        <v>#DIV/0!</v>
      </c>
      <c r="I26" s="293"/>
      <c r="J26" s="127"/>
      <c r="K26" s="290"/>
    </row>
    <row r="27" spans="2:12" collapsed="1" x14ac:dyDescent="0.2">
      <c r="B27" s="3" t="s">
        <v>198</v>
      </c>
      <c r="C27" s="127"/>
      <c r="D27" s="121">
        <f>ROUND(Summary!AB11,0)</f>
        <v>-78512</v>
      </c>
      <c r="E27" s="121">
        <f>Summary!AA11</f>
        <v>-71551.051000000007</v>
      </c>
      <c r="G27" s="121">
        <f>D27-E27</f>
        <v>-6960.9489999999932</v>
      </c>
      <c r="H27" s="286">
        <f t="shared" si="3"/>
        <v>9.7286467532112036E-2</v>
      </c>
      <c r="I27" s="292" t="s">
        <v>387</v>
      </c>
      <c r="J27" s="127"/>
      <c r="K27" s="290"/>
    </row>
    <row r="28" spans="2:12" x14ac:dyDescent="0.2">
      <c r="B28" s="3" t="s">
        <v>391</v>
      </c>
      <c r="C28" s="127"/>
      <c r="D28" s="121">
        <f>ROUND(Summary!AB12,0)</f>
        <v>9012</v>
      </c>
      <c r="E28" s="121">
        <f>Summary!AA12</f>
        <v>4827.6877089754362</v>
      </c>
      <c r="G28" s="121">
        <f t="shared" si="2"/>
        <v>4184.3122910245638</v>
      </c>
      <c r="H28" s="286">
        <f t="shared" si="3"/>
        <v>0.86673217972348637</v>
      </c>
      <c r="I28" s="292" t="s">
        <v>388</v>
      </c>
      <c r="J28" s="127"/>
      <c r="K28" s="290"/>
    </row>
    <row r="29" spans="2:12" x14ac:dyDescent="0.2">
      <c r="B29" s="3" t="s">
        <v>203</v>
      </c>
      <c r="C29" s="127"/>
      <c r="D29" s="121">
        <f>ROUND(Summary!AB13,0)</f>
        <v>895</v>
      </c>
      <c r="E29" s="121">
        <f>Summary!AA13</f>
        <v>881.60331555883761</v>
      </c>
      <c r="G29" s="121">
        <f t="shared" si="2"/>
        <v>13.396684441162392</v>
      </c>
      <c r="H29" s="286">
        <f t="shared" si="3"/>
        <v>1.5195819031908243E-2</v>
      </c>
      <c r="I29" s="288" t="s">
        <v>381</v>
      </c>
      <c r="J29" s="127"/>
      <c r="K29" s="290"/>
    </row>
    <row r="30" spans="2:12" x14ac:dyDescent="0.2">
      <c r="B30" s="3" t="s">
        <v>199</v>
      </c>
      <c r="C30" s="127"/>
      <c r="D30" s="121">
        <f>ROUND(Summary!AB14,0)</f>
        <v>19</v>
      </c>
      <c r="E30" s="121">
        <f>Summary!AA14</f>
        <v>18.367251499999998</v>
      </c>
      <c r="G30" s="121">
        <f t="shared" si="2"/>
        <v>0.63274850000000171</v>
      </c>
      <c r="H30" s="286">
        <f t="shared" si="3"/>
        <v>3.4449819560645849E-2</v>
      </c>
      <c r="I30" s="288" t="s">
        <v>381</v>
      </c>
      <c r="J30" s="127"/>
      <c r="K30" s="290"/>
    </row>
    <row r="31" spans="2:12" outlineLevel="1" x14ac:dyDescent="0.2">
      <c r="B31" s="3" t="s">
        <v>248</v>
      </c>
      <c r="C31" s="127"/>
      <c r="D31" s="121">
        <f>ROUND(Summary!AB15,0)</f>
        <v>0</v>
      </c>
      <c r="E31" s="121">
        <f>Summary!AA15</f>
        <v>0</v>
      </c>
      <c r="G31" s="121">
        <f t="shared" si="2"/>
        <v>0</v>
      </c>
      <c r="H31" s="121"/>
      <c r="I31" s="288" t="s">
        <v>381</v>
      </c>
      <c r="J31" s="127"/>
      <c r="K31" s="290"/>
    </row>
    <row r="32" spans="2:12" x14ac:dyDescent="0.2">
      <c r="B32" s="3" t="s">
        <v>249</v>
      </c>
      <c r="C32" s="127"/>
      <c r="D32" s="121">
        <f>ROUND(Summary!AB16,0)</f>
        <v>254</v>
      </c>
      <c r="E32" s="121">
        <f>Summary!AA16</f>
        <v>255.87371314285701</v>
      </c>
      <c r="G32" s="121">
        <f t="shared" si="2"/>
        <v>-1.8737131428570137</v>
      </c>
      <c r="H32" s="286">
        <f>G32/E32</f>
        <v>-7.3228043625212088E-3</v>
      </c>
      <c r="I32" s="288" t="s">
        <v>381</v>
      </c>
      <c r="J32" s="127"/>
      <c r="K32" s="290"/>
    </row>
    <row r="33" spans="1:14" x14ac:dyDescent="0.2">
      <c r="B33" s="9" t="s">
        <v>405</v>
      </c>
      <c r="C33" s="127"/>
      <c r="D33" s="121">
        <f>1</f>
        <v>1</v>
      </c>
      <c r="E33" s="121">
        <v>-1</v>
      </c>
      <c r="G33" s="121">
        <f t="shared" ref="G33" si="4">D33-E33</f>
        <v>2</v>
      </c>
      <c r="H33" s="286">
        <f>G33/E33</f>
        <v>-2</v>
      </c>
      <c r="I33" s="288" t="s">
        <v>381</v>
      </c>
      <c r="J33" s="127"/>
      <c r="K33" s="290"/>
    </row>
    <row r="34" spans="1:14" x14ac:dyDescent="0.2">
      <c r="B34" s="296" t="s">
        <v>474</v>
      </c>
      <c r="C34" s="127"/>
      <c r="D34" s="121">
        <f>ROUND(Summary!AB18,0)</f>
        <v>10147</v>
      </c>
      <c r="E34" s="121">
        <f>ROUND(Summary!AA18,0)</f>
        <v>8667</v>
      </c>
      <c r="G34" s="121"/>
      <c r="H34" s="286"/>
      <c r="I34" s="288"/>
      <c r="J34" s="127"/>
      <c r="K34" s="290"/>
    </row>
    <row r="35" spans="1:14" ht="15.75" thickBot="1" x14ac:dyDescent="0.25">
      <c r="B35" s="52" t="s">
        <v>389</v>
      </c>
      <c r="C35" s="127"/>
      <c r="D35" s="148">
        <f>SUM(D24:D34)</f>
        <v>154</v>
      </c>
      <c r="E35" s="148">
        <f>SUM(E24:E34)</f>
        <v>163.98098917712377</v>
      </c>
      <c r="G35" s="148">
        <f>SUM(G24:G32)</f>
        <v>-1491.980989177124</v>
      </c>
      <c r="H35" s="291">
        <f>G35/E35</f>
        <v>-9.0984997508800447</v>
      </c>
      <c r="J35" s="127"/>
      <c r="K35" s="290"/>
    </row>
    <row r="36" spans="1:14" ht="13.5" thickTop="1" x14ac:dyDescent="0.2">
      <c r="C36" s="121"/>
      <c r="D36" s="121"/>
      <c r="E36" s="121"/>
      <c r="G36" s="289"/>
      <c r="H36" s="290"/>
      <c r="I36" s="115"/>
      <c r="J36" s="121"/>
      <c r="K36" s="115"/>
    </row>
    <row r="37" spans="1:14" x14ac:dyDescent="0.2">
      <c r="A37" s="288" t="s">
        <v>381</v>
      </c>
      <c r="B37" s="3" t="s">
        <v>382</v>
      </c>
      <c r="C37" s="115"/>
      <c r="E37" s="115"/>
    </row>
    <row r="39" spans="1:14" x14ac:dyDescent="0.2">
      <c r="A39" s="28" t="s">
        <v>386</v>
      </c>
    </row>
    <row r="41" spans="1:14" x14ac:dyDescent="0.2">
      <c r="A41" s="456" t="s">
        <v>383</v>
      </c>
      <c r="B41" s="195" t="s">
        <v>469</v>
      </c>
      <c r="C41" s="115"/>
      <c r="D41" s="115"/>
      <c r="E41" s="115"/>
      <c r="F41" s="115"/>
      <c r="G41" s="115"/>
      <c r="H41" s="115"/>
      <c r="I41" s="115"/>
      <c r="J41" s="115"/>
      <c r="K41" s="115"/>
      <c r="L41" s="115"/>
    </row>
    <row r="42" spans="1:14" x14ac:dyDescent="0.2">
      <c r="A42" s="456" t="s">
        <v>384</v>
      </c>
      <c r="B42" s="650" t="s">
        <v>461</v>
      </c>
      <c r="C42" s="651"/>
      <c r="D42" s="651"/>
      <c r="E42" s="651"/>
      <c r="F42" s="651"/>
      <c r="G42" s="651"/>
      <c r="H42" s="651"/>
      <c r="I42" s="651"/>
      <c r="J42" s="651"/>
      <c r="K42" s="651"/>
      <c r="L42" s="651"/>
    </row>
    <row r="43" spans="1:14" x14ac:dyDescent="0.2">
      <c r="A43" s="456"/>
      <c r="B43" s="651"/>
      <c r="C43" s="651"/>
      <c r="D43" s="651"/>
      <c r="E43" s="651"/>
      <c r="F43" s="651"/>
      <c r="G43" s="651"/>
      <c r="H43" s="651"/>
      <c r="I43" s="651"/>
      <c r="J43" s="651"/>
      <c r="K43" s="651"/>
      <c r="L43" s="651"/>
    </row>
    <row r="44" spans="1:14" x14ac:dyDescent="0.2">
      <c r="A44" s="456" t="s">
        <v>385</v>
      </c>
      <c r="B44" s="195" t="s">
        <v>462</v>
      </c>
      <c r="C44" s="115"/>
      <c r="D44" s="115"/>
      <c r="E44" s="115"/>
      <c r="F44" s="115"/>
      <c r="G44" s="115"/>
      <c r="H44" s="115"/>
      <c r="I44" s="115"/>
      <c r="J44" s="115"/>
      <c r="K44" s="115"/>
      <c r="L44" s="115"/>
    </row>
    <row r="45" spans="1:14" x14ac:dyDescent="0.2">
      <c r="A45" s="456" t="s">
        <v>387</v>
      </c>
      <c r="B45" s="195" t="s">
        <v>463</v>
      </c>
      <c r="C45" s="115"/>
      <c r="D45" s="115"/>
      <c r="E45" s="115"/>
      <c r="F45" s="115"/>
      <c r="G45" s="115"/>
      <c r="H45" s="115"/>
      <c r="I45" s="115"/>
      <c r="J45" s="115"/>
      <c r="K45" s="115"/>
      <c r="L45" s="115"/>
    </row>
    <row r="46" spans="1:14" x14ac:dyDescent="0.2">
      <c r="A46" s="456" t="s">
        <v>388</v>
      </c>
      <c r="B46" s="457" t="s">
        <v>464</v>
      </c>
      <c r="C46" s="458"/>
      <c r="D46" s="458"/>
      <c r="E46" s="458"/>
      <c r="F46" s="458"/>
      <c r="G46" s="458"/>
      <c r="H46" s="458"/>
      <c r="I46" s="458"/>
      <c r="J46" s="458"/>
      <c r="K46" s="458"/>
      <c r="L46" s="458"/>
    </row>
    <row r="47" spans="1:14" x14ac:dyDescent="0.2">
      <c r="A47" s="115"/>
      <c r="B47" s="458"/>
      <c r="C47" s="458"/>
      <c r="D47" s="458"/>
      <c r="E47" s="458"/>
      <c r="F47" s="458"/>
      <c r="G47" s="458"/>
      <c r="H47" s="458"/>
      <c r="I47" s="458"/>
      <c r="J47" s="458"/>
      <c r="K47" s="458"/>
      <c r="L47" s="458"/>
    </row>
    <row r="48" spans="1:14" ht="12" customHeight="1" x14ac:dyDescent="0.2">
      <c r="A48" s="652" t="s">
        <v>465</v>
      </c>
      <c r="B48" s="651"/>
      <c r="C48" s="651"/>
      <c r="D48" s="651"/>
      <c r="E48" s="651"/>
      <c r="F48" s="651"/>
      <c r="G48" s="651"/>
      <c r="H48" s="651"/>
      <c r="I48" s="651"/>
      <c r="J48" s="651"/>
      <c r="K48" s="651"/>
      <c r="L48" s="458"/>
      <c r="N48" s="331"/>
    </row>
    <row r="49" spans="1:18" ht="26.25" customHeight="1" x14ac:dyDescent="0.2">
      <c r="A49" s="651"/>
      <c r="B49" s="651"/>
      <c r="C49" s="651"/>
      <c r="D49" s="651"/>
      <c r="E49" s="651"/>
      <c r="F49" s="651"/>
      <c r="G49" s="651"/>
      <c r="H49" s="651"/>
      <c r="I49" s="651"/>
      <c r="J49" s="651"/>
      <c r="K49" s="651"/>
      <c r="L49" s="458"/>
      <c r="N49" s="331"/>
    </row>
    <row r="50" spans="1:18" x14ac:dyDescent="0.2">
      <c r="A50" s="456"/>
      <c r="B50" s="115"/>
      <c r="C50" s="115"/>
      <c r="D50" s="115"/>
      <c r="E50" s="115"/>
      <c r="F50" s="115"/>
      <c r="G50" s="115"/>
      <c r="H50" s="115"/>
      <c r="I50" s="115"/>
      <c r="J50" s="115"/>
      <c r="K50" s="115"/>
      <c r="L50" s="115"/>
      <c r="N50" s="331"/>
    </row>
    <row r="51" spans="1:18" s="115" customFormat="1" x14ac:dyDescent="0.2">
      <c r="N51" s="195"/>
    </row>
    <row r="52" spans="1:18" s="115" customFormat="1" x14ac:dyDescent="0.2">
      <c r="B52" s="214" t="s">
        <v>392</v>
      </c>
      <c r="C52" s="214">
        <v>237610</v>
      </c>
      <c r="D52" s="214">
        <v>237620</v>
      </c>
      <c r="N52" s="170"/>
    </row>
    <row r="53" spans="1:18" s="115" customFormat="1" x14ac:dyDescent="0.2">
      <c r="B53" s="195" t="s">
        <v>460</v>
      </c>
      <c r="C53" s="419">
        <v>8667523127</v>
      </c>
      <c r="D53" s="419">
        <v>-164931053</v>
      </c>
      <c r="E53" s="106">
        <f t="shared" ref="E53:E58" si="5">SUM(C53:D53)</f>
        <v>8502592074</v>
      </c>
      <c r="P53" s="419"/>
      <c r="Q53" s="419"/>
      <c r="R53" s="289"/>
    </row>
    <row r="54" spans="1:18" s="115" customFormat="1" x14ac:dyDescent="0.2">
      <c r="B54" s="115" t="s">
        <v>467</v>
      </c>
      <c r="C54" s="419">
        <f>-liability!AB21</f>
        <v>10146996452.755217</v>
      </c>
      <c r="D54" s="419">
        <f>-'RCA liab'!W13</f>
        <v>-153051398.75</v>
      </c>
      <c r="E54" s="106">
        <f t="shared" si="5"/>
        <v>9993945054.0052166</v>
      </c>
      <c r="P54" s="419"/>
      <c r="Q54" s="419"/>
      <c r="R54" s="289"/>
    </row>
    <row r="55" spans="1:18" s="115" customFormat="1" x14ac:dyDescent="0.2">
      <c r="B55" s="115" t="s">
        <v>393</v>
      </c>
      <c r="C55" s="419">
        <f>liability!AB28*1000000</f>
        <v>-1598238087.3</v>
      </c>
      <c r="D55" s="419">
        <f>'RCA liab'!W16*1000000</f>
        <v>-2668959</v>
      </c>
      <c r="E55" s="106">
        <f t="shared" si="5"/>
        <v>-1600907046.3</v>
      </c>
      <c r="P55" s="419"/>
      <c r="Q55" s="419"/>
      <c r="R55" s="289"/>
    </row>
    <row r="56" spans="1:18" s="115" customFormat="1" ht="13.5" thickBot="1" x14ac:dyDescent="0.25">
      <c r="B56" s="115" t="s">
        <v>396</v>
      </c>
      <c r="C56" s="106">
        <f>C53-C54-C55</f>
        <v>118764761.54478335</v>
      </c>
      <c r="D56" s="106">
        <f>D53-D54-D55</f>
        <v>-9210695.25</v>
      </c>
      <c r="E56" s="419">
        <f>SUM(C56:D56)</f>
        <v>109554066.29478335</v>
      </c>
      <c r="P56" s="106"/>
      <c r="Q56" s="106"/>
      <c r="R56" s="563"/>
    </row>
    <row r="57" spans="1:18" s="115" customFormat="1" ht="13.5" thickBot="1" x14ac:dyDescent="0.25">
      <c r="B57" s="115" t="s">
        <v>395</v>
      </c>
      <c r="C57" s="106">
        <f>ROUND(expense!AB22,0)</f>
        <v>118324044</v>
      </c>
      <c r="D57" s="106">
        <f>ROUND('RCA exp'!V17-3000000,0)</f>
        <v>-8141251</v>
      </c>
      <c r="E57" s="409">
        <f t="shared" si="5"/>
        <v>110182793</v>
      </c>
      <c r="P57" s="106"/>
      <c r="Q57" s="106"/>
      <c r="R57" s="564"/>
    </row>
    <row r="58" spans="1:18" s="115" customFormat="1" x14ac:dyDescent="0.2">
      <c r="B58" s="115" t="s">
        <v>394</v>
      </c>
      <c r="C58" s="106">
        <f>C56-C57</f>
        <v>440717.54478335381</v>
      </c>
      <c r="D58" s="106">
        <f>D56-D57</f>
        <v>-1069444.25</v>
      </c>
      <c r="E58" s="415">
        <f t="shared" si="5"/>
        <v>-628726.70521664619</v>
      </c>
      <c r="F58" s="115" t="s">
        <v>421</v>
      </c>
      <c r="P58" s="106"/>
      <c r="Q58" s="106"/>
      <c r="R58" s="565"/>
    </row>
    <row r="59" spans="1:18" s="115" customFormat="1" x14ac:dyDescent="0.2">
      <c r="R59" s="171"/>
    </row>
    <row r="60" spans="1:18" s="115" customFormat="1" x14ac:dyDescent="0.2"/>
    <row r="61" spans="1:18" s="115" customFormat="1" x14ac:dyDescent="0.2">
      <c r="B61" s="115" t="str">
        <f>B53</f>
        <v>Asset (Obligation) March 31, 2015 Per IFIS</v>
      </c>
      <c r="C61" s="106">
        <f>C53</f>
        <v>8667523127</v>
      </c>
      <c r="D61" s="106">
        <f>D53</f>
        <v>-164931053</v>
      </c>
      <c r="E61" s="106">
        <f>SUM(C61:D61)</f>
        <v>8502592074</v>
      </c>
      <c r="P61" s="106"/>
      <c r="Q61" s="106"/>
      <c r="R61" s="106"/>
    </row>
    <row r="62" spans="1:18" s="115" customFormat="1" ht="12.75" hidden="1" customHeight="1" x14ac:dyDescent="0.2"/>
    <row r="63" spans="1:18" s="115" customFormat="1" x14ac:dyDescent="0.2">
      <c r="B63" s="115" t="s">
        <v>422</v>
      </c>
      <c r="C63" s="106">
        <f>-C55</f>
        <v>1598238087.3</v>
      </c>
      <c r="D63" s="106">
        <f>-D55</f>
        <v>2668959</v>
      </c>
      <c r="E63" s="106">
        <f>SUM(C63:D63)</f>
        <v>1600907046.3</v>
      </c>
      <c r="P63" s="106"/>
      <c r="Q63" s="106"/>
      <c r="R63" s="106"/>
    </row>
    <row r="64" spans="1:18" s="115" customFormat="1" x14ac:dyDescent="0.2">
      <c r="B64" s="115" t="s">
        <v>423</v>
      </c>
      <c r="C64" s="106">
        <f>-C57</f>
        <v>-118324044</v>
      </c>
      <c r="D64" s="106">
        <f>-D57</f>
        <v>8141251</v>
      </c>
      <c r="E64" s="106">
        <f t="shared" ref="E64:E65" si="6">SUM(C64:D64)</f>
        <v>-110182793</v>
      </c>
      <c r="P64" s="289"/>
      <c r="Q64" s="289"/>
      <c r="R64" s="289"/>
    </row>
    <row r="65" spans="2:18" s="115" customFormat="1" x14ac:dyDescent="0.2">
      <c r="B65" s="214" t="s">
        <v>468</v>
      </c>
      <c r="C65" s="412">
        <f>SUM(C61:C64)</f>
        <v>10147437170.299999</v>
      </c>
      <c r="D65" s="411">
        <f>SUM(D61:D64)</f>
        <v>-154120843</v>
      </c>
      <c r="E65" s="410">
        <f t="shared" si="6"/>
        <v>9993316327.2999992</v>
      </c>
      <c r="P65" s="562"/>
      <c r="Q65" s="562"/>
      <c r="R65" s="562"/>
    </row>
    <row r="66" spans="2:18" s="115" customFormat="1" x14ac:dyDescent="0.2"/>
    <row r="67" spans="2:18" s="115" customFormat="1" x14ac:dyDescent="0.2"/>
    <row r="68" spans="2:18" s="115" customFormat="1" x14ac:dyDescent="0.2"/>
    <row r="69" spans="2:18" s="115" customFormat="1" x14ac:dyDescent="0.2"/>
    <row r="70" spans="2:18" s="115" customFormat="1" x14ac:dyDescent="0.2"/>
    <row r="71" spans="2:18" s="115" customFormat="1" x14ac:dyDescent="0.2"/>
  </sheetData>
  <mergeCells count="5">
    <mergeCell ref="G4:H4"/>
    <mergeCell ref="J4:K4"/>
    <mergeCell ref="G21:H21"/>
    <mergeCell ref="B42:L43"/>
    <mergeCell ref="A48:K49"/>
  </mergeCells>
  <phoneticPr fontId="18" type="noConversion"/>
  <pageMargins left="0.75" right="0.75" top="1" bottom="1" header="0.5" footer="0.5"/>
  <pageSetup scale="5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45"/>
  <sheetViews>
    <sheetView topLeftCell="I22" workbookViewId="0">
      <selection activeCell="U19" sqref="U19"/>
    </sheetView>
  </sheetViews>
  <sheetFormatPr baseColWidth="10" defaultColWidth="9.140625" defaultRowHeight="12.75" outlineLevelRow="1" outlineLevelCol="1" x14ac:dyDescent="0.2"/>
  <cols>
    <col min="1" max="1" width="60.7109375" customWidth="1"/>
    <col min="2" max="2" width="26.7109375" customWidth="1"/>
    <col min="3" max="5" width="10" hidden="1" customWidth="1"/>
    <col min="6" max="6" width="11.5703125" hidden="1" customWidth="1"/>
    <col min="7" max="13" width="11.5703125" customWidth="1" outlineLevel="1"/>
    <col min="14" max="14" width="11" customWidth="1" outlineLevel="1"/>
    <col min="15" max="15" width="12" customWidth="1" outlineLevel="1"/>
    <col min="16" max="16" width="13.42578125" customWidth="1" outlineLevel="1"/>
    <col min="17" max="17" width="13.42578125" style="115" customWidth="1" outlineLevel="1"/>
    <col min="18" max="18" width="15" style="115" customWidth="1" outlineLevel="1"/>
    <col min="19" max="19" width="14.42578125" style="115" customWidth="1" outlineLevel="1"/>
    <col min="20" max="20" width="13.42578125" style="115" bestFit="1" customWidth="1" outlineLevel="1"/>
    <col min="21" max="25" width="13.42578125" style="115" bestFit="1" customWidth="1"/>
    <col min="26" max="26" width="15.140625" style="115" customWidth="1"/>
    <col min="27" max="27" width="14.5703125" style="115" bestFit="1" customWidth="1"/>
    <col min="28" max="28" width="15.5703125" style="337" bestFit="1" customWidth="1"/>
    <col min="29" max="31" width="10.42578125" style="304" hidden="1" customWidth="1" outlineLevel="1"/>
    <col min="32" max="32" width="10.42578125" style="323" hidden="1" customWidth="1" outlineLevel="1"/>
    <col min="33" max="33" width="9.140625" collapsed="1"/>
  </cols>
  <sheetData>
    <row r="1" spans="1:32" ht="15.75" x14ac:dyDescent="0.25">
      <c r="A1" s="18" t="s">
        <v>67</v>
      </c>
    </row>
    <row r="2" spans="1:32" x14ac:dyDescent="0.2">
      <c r="A2" s="2" t="s">
        <v>195</v>
      </c>
    </row>
    <row r="3" spans="1:32" x14ac:dyDescent="0.2">
      <c r="Z3" s="338" t="s">
        <v>178</v>
      </c>
      <c r="AA3" s="338" t="s">
        <v>294</v>
      </c>
      <c r="AB3" s="336" t="s">
        <v>309</v>
      </c>
      <c r="AC3" s="322" t="s">
        <v>315</v>
      </c>
      <c r="AD3" s="322" t="s">
        <v>316</v>
      </c>
      <c r="AE3" s="322" t="s">
        <v>317</v>
      </c>
      <c r="AF3" s="324"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1">
        <v>2015</v>
      </c>
      <c r="AC4" s="307">
        <v>2016</v>
      </c>
      <c r="AD4" s="307">
        <v>2017</v>
      </c>
      <c r="AE4" s="307">
        <v>2018</v>
      </c>
      <c r="AF4" s="325">
        <v>2019</v>
      </c>
    </row>
    <row r="6" spans="1:32" s="3" customFormat="1" x14ac:dyDescent="0.2">
      <c r="A6" s="12" t="s">
        <v>236</v>
      </c>
      <c r="Q6" s="121"/>
      <c r="R6" s="121"/>
      <c r="S6" s="121"/>
      <c r="T6" s="121"/>
      <c r="U6" s="121"/>
      <c r="V6" s="121"/>
      <c r="W6" s="121"/>
      <c r="X6" s="121"/>
      <c r="Y6" s="121"/>
      <c r="Z6" s="121"/>
      <c r="AA6" s="121"/>
      <c r="AB6" s="344"/>
      <c r="AC6" s="566"/>
      <c r="AD6" s="566"/>
      <c r="AE6" s="566"/>
      <c r="AF6" s="613"/>
    </row>
    <row r="7" spans="1:32" s="3" customFormat="1" x14ac:dyDescent="0.2">
      <c r="Q7" s="121"/>
      <c r="R7" s="121"/>
      <c r="S7" s="121"/>
      <c r="T7" s="121"/>
      <c r="U7" s="121"/>
      <c r="V7" s="121"/>
      <c r="W7" s="121"/>
      <c r="X7" s="121"/>
      <c r="Y7" s="121"/>
      <c r="Z7" s="121"/>
      <c r="AA7" s="121"/>
      <c r="AB7" s="344"/>
      <c r="AC7" s="566"/>
      <c r="AD7" s="566"/>
      <c r="AE7" s="566"/>
      <c r="AF7" s="613"/>
    </row>
    <row r="8" spans="1:32" s="3" customFormat="1" x14ac:dyDescent="0.2">
      <c r="A8" s="3" t="s">
        <v>197</v>
      </c>
      <c r="B8" s="3" t="s">
        <v>238</v>
      </c>
      <c r="C8" s="3">
        <f>C34/2</f>
        <v>12195.5</v>
      </c>
      <c r="D8" s="3">
        <f>D34/2</f>
        <v>13739.5</v>
      </c>
      <c r="E8" s="3">
        <f>E34/2</f>
        <v>15390.5</v>
      </c>
      <c r="F8" s="3">
        <f>F34/2</f>
        <v>16999</v>
      </c>
      <c r="G8" s="3">
        <f t="shared" ref="G8:N8" si="0">G34/2</f>
        <v>18424</v>
      </c>
      <c r="H8" s="3">
        <f t="shared" si="0"/>
        <v>19503.5</v>
      </c>
      <c r="I8" s="3">
        <f t="shared" si="0"/>
        <v>20916.5</v>
      </c>
      <c r="J8" s="3">
        <f t="shared" si="0"/>
        <v>23235</v>
      </c>
      <c r="K8" s="3">
        <f t="shared" si="0"/>
        <v>24317.5</v>
      </c>
      <c r="L8" s="3">
        <f t="shared" si="0"/>
        <v>25173</v>
      </c>
      <c r="M8" s="3">
        <f t="shared" si="0"/>
        <v>27543.5</v>
      </c>
      <c r="N8" s="3">
        <f t="shared" si="0"/>
        <v>32184.5</v>
      </c>
      <c r="O8" s="3">
        <f t="shared" ref="O8:P10" si="1">O34/2</f>
        <v>33659.5</v>
      </c>
      <c r="P8" s="3">
        <f t="shared" si="1"/>
        <v>35504.5</v>
      </c>
      <c r="Q8" s="121">
        <f t="shared" ref="Q8:U10" si="2">Q34/2</f>
        <v>37044.5</v>
      </c>
      <c r="R8" s="121">
        <f t="shared" si="2"/>
        <v>40185.5</v>
      </c>
      <c r="S8" s="121">
        <f t="shared" si="2"/>
        <v>41560</v>
      </c>
      <c r="T8" s="121">
        <f t="shared" si="2"/>
        <v>44178</v>
      </c>
      <c r="U8" s="121">
        <f t="shared" si="2"/>
        <v>46011</v>
      </c>
      <c r="V8" s="226">
        <f t="shared" ref="V8:W10" si="3">V34/2</f>
        <v>48304</v>
      </c>
      <c r="W8" s="121">
        <f t="shared" si="3"/>
        <v>49558.5</v>
      </c>
      <c r="X8" s="121">
        <f t="shared" ref="X8:Y10" si="4">X34/2</f>
        <v>51846.5</v>
      </c>
      <c r="Y8" s="121">
        <f t="shared" si="4"/>
        <v>52977</v>
      </c>
      <c r="Z8" s="121">
        <f t="shared" ref="Z8:AA10" si="5">Z34/2</f>
        <v>54762</v>
      </c>
      <c r="AA8" s="121">
        <f t="shared" si="5"/>
        <v>56900.5</v>
      </c>
      <c r="AB8" s="344">
        <f t="shared" ref="AB8:AC10" si="6">AB34/2</f>
        <v>58183.5</v>
      </c>
      <c r="AC8" s="566">
        <f t="shared" si="6"/>
        <v>60445.578869909761</v>
      </c>
      <c r="AD8" s="566">
        <f t="shared" ref="AD8:AE10" si="7">AD34/2</f>
        <v>62837.272937482718</v>
      </c>
      <c r="AE8" s="566">
        <f t="shared" si="7"/>
        <v>65362.388075468276</v>
      </c>
      <c r="AF8" s="613">
        <f t="shared" ref="AF8" si="8">AF34/2</f>
        <v>68033.241449586654</v>
      </c>
    </row>
    <row r="9" spans="1:32" s="3" customFormat="1" x14ac:dyDescent="0.2">
      <c r="A9" s="3" t="s">
        <v>206</v>
      </c>
      <c r="B9" s="3" t="s">
        <v>238</v>
      </c>
      <c r="C9" s="3">
        <f t="shared" ref="C9:F10" si="9">C35/2</f>
        <v>0</v>
      </c>
      <c r="D9" s="3">
        <f t="shared" si="9"/>
        <v>0</v>
      </c>
      <c r="E9" s="3">
        <f t="shared" si="9"/>
        <v>0</v>
      </c>
      <c r="F9" s="3">
        <f t="shared" si="9"/>
        <v>0</v>
      </c>
      <c r="G9" s="3">
        <f t="shared" ref="G9:N9" si="10">G35/2</f>
        <v>0</v>
      </c>
      <c r="H9" s="3">
        <f t="shared" si="10"/>
        <v>0</v>
      </c>
      <c r="I9" s="3">
        <f t="shared" si="10"/>
        <v>250</v>
      </c>
      <c r="J9" s="3">
        <f t="shared" si="10"/>
        <v>0</v>
      </c>
      <c r="K9" s="3">
        <f t="shared" si="10"/>
        <v>0</v>
      </c>
      <c r="L9" s="3">
        <f t="shared" si="10"/>
        <v>0</v>
      </c>
      <c r="M9" s="3">
        <f t="shared" si="10"/>
        <v>0</v>
      </c>
      <c r="N9" s="3">
        <f t="shared" si="10"/>
        <v>0</v>
      </c>
      <c r="O9" s="3">
        <f t="shared" si="1"/>
        <v>0</v>
      </c>
      <c r="P9" s="3">
        <f t="shared" si="1"/>
        <v>0</v>
      </c>
      <c r="Q9" s="121">
        <f t="shared" si="2"/>
        <v>0</v>
      </c>
      <c r="R9" s="121">
        <f t="shared" si="2"/>
        <v>0</v>
      </c>
      <c r="S9" s="121">
        <f t="shared" si="2"/>
        <v>0</v>
      </c>
      <c r="T9" s="121">
        <f t="shared" si="2"/>
        <v>0</v>
      </c>
      <c r="U9" s="121">
        <f t="shared" si="2"/>
        <v>0</v>
      </c>
      <c r="V9" s="226">
        <f t="shared" si="3"/>
        <v>0</v>
      </c>
      <c r="W9" s="121">
        <f t="shared" si="3"/>
        <v>0</v>
      </c>
      <c r="X9" s="121">
        <f t="shared" si="4"/>
        <v>0</v>
      </c>
      <c r="Y9" s="121">
        <f t="shared" si="4"/>
        <v>0</v>
      </c>
      <c r="Z9" s="121">
        <f t="shared" si="5"/>
        <v>0</v>
      </c>
      <c r="AA9" s="121">
        <f t="shared" si="5"/>
        <v>0</v>
      </c>
      <c r="AB9" s="344">
        <f t="shared" si="6"/>
        <v>0</v>
      </c>
      <c r="AC9" s="566">
        <f t="shared" si="6"/>
        <v>0</v>
      </c>
      <c r="AD9" s="566">
        <f t="shared" si="7"/>
        <v>0</v>
      </c>
      <c r="AE9" s="566">
        <f t="shared" si="7"/>
        <v>0</v>
      </c>
      <c r="AF9" s="613">
        <f t="shared" ref="AF9" si="11">AF35/2</f>
        <v>0</v>
      </c>
    </row>
    <row r="10" spans="1:32" s="3" customFormat="1" x14ac:dyDescent="0.2">
      <c r="A10" s="3" t="s">
        <v>198</v>
      </c>
      <c r="B10" s="3" t="s">
        <v>238</v>
      </c>
      <c r="C10" s="3">
        <f t="shared" si="9"/>
        <v>-10062</v>
      </c>
      <c r="D10" s="3">
        <f t="shared" si="9"/>
        <v>-12348.5</v>
      </c>
      <c r="E10" s="3">
        <f t="shared" si="9"/>
        <v>-13886.5</v>
      </c>
      <c r="F10" s="3">
        <f t="shared" si="9"/>
        <v>-16855.5</v>
      </c>
      <c r="G10" s="3">
        <f t="shared" ref="G10:N10" si="12">G36/2</f>
        <v>-17121</v>
      </c>
      <c r="H10" s="3">
        <f t="shared" si="12"/>
        <v>-19046</v>
      </c>
      <c r="I10" s="3">
        <f t="shared" si="12"/>
        <v>-21506.5</v>
      </c>
      <c r="J10" s="3">
        <f t="shared" si="12"/>
        <v>-24450.5</v>
      </c>
      <c r="K10" s="3">
        <f t="shared" si="12"/>
        <v>-27191</v>
      </c>
      <c r="L10" s="3">
        <f t="shared" si="12"/>
        <v>-30519.5</v>
      </c>
      <c r="M10" s="3">
        <f t="shared" si="12"/>
        <v>-34390</v>
      </c>
      <c r="N10" s="3">
        <f t="shared" si="12"/>
        <v>-36214.5</v>
      </c>
      <c r="O10" s="3">
        <f t="shared" si="1"/>
        <v>-37928.5</v>
      </c>
      <c r="P10" s="3">
        <f t="shared" si="1"/>
        <v>-39578.5</v>
      </c>
      <c r="Q10" s="121">
        <f t="shared" si="2"/>
        <v>-41395.5</v>
      </c>
      <c r="R10" s="121">
        <f t="shared" si="2"/>
        <v>-44347</v>
      </c>
      <c r="S10" s="121">
        <f t="shared" si="2"/>
        <v>-47425</v>
      </c>
      <c r="T10" s="121">
        <f t="shared" si="2"/>
        <v>-52458.5</v>
      </c>
      <c r="U10" s="121">
        <f t="shared" si="2"/>
        <v>-53478.5</v>
      </c>
      <c r="V10" s="226">
        <f t="shared" si="3"/>
        <v>-54556</v>
      </c>
      <c r="W10" s="121">
        <f t="shared" si="3"/>
        <v>-57123</v>
      </c>
      <c r="X10" s="121">
        <f t="shared" si="4"/>
        <v>-57842.5</v>
      </c>
      <c r="Y10" s="121">
        <f t="shared" si="4"/>
        <v>-59932</v>
      </c>
      <c r="Z10" s="121">
        <f t="shared" si="5"/>
        <v>-65433.5</v>
      </c>
      <c r="AA10" s="121">
        <f t="shared" si="5"/>
        <v>-71538</v>
      </c>
      <c r="AB10" s="344">
        <f t="shared" si="6"/>
        <v>-78499</v>
      </c>
      <c r="AC10" s="566">
        <f t="shared" si="6"/>
        <v>-85402.937442314142</v>
      </c>
      <c r="AD10" s="566">
        <f t="shared" si="7"/>
        <v>-91866.574124607039</v>
      </c>
      <c r="AE10" s="566">
        <f t="shared" si="7"/>
        <v>-98069.625199640723</v>
      </c>
      <c r="AF10" s="613">
        <f t="shared" ref="AF10" si="13">AF36/2</f>
        <v>-103848.70271947625</v>
      </c>
    </row>
    <row r="11" spans="1:32" s="3" customFormat="1" x14ac:dyDescent="0.2">
      <c r="A11" s="3" t="s">
        <v>196</v>
      </c>
      <c r="B11" s="3" t="s">
        <v>238</v>
      </c>
      <c r="C11" s="3">
        <f>C38/2</f>
        <v>0</v>
      </c>
      <c r="D11" s="3">
        <f>D38/2</f>
        <v>721.71500000000015</v>
      </c>
      <c r="E11" s="3">
        <f>E38/2</f>
        <v>343.21125000000029</v>
      </c>
      <c r="F11" s="3">
        <f>F38/2</f>
        <v>1586.2581249999985</v>
      </c>
      <c r="G11" s="3">
        <f t="shared" ref="G11:M11" si="14">G38/2</f>
        <v>746.65187499999774</v>
      </c>
      <c r="H11" s="3">
        <f t="shared" si="14"/>
        <v>1618.3456249999999</v>
      </c>
      <c r="I11" s="3">
        <f t="shared" si="14"/>
        <v>2252.1831250000014</v>
      </c>
      <c r="J11" s="3">
        <f t="shared" si="14"/>
        <v>2676.4274999999998</v>
      </c>
      <c r="K11" s="3">
        <f t="shared" si="14"/>
        <v>3727.4987500000007</v>
      </c>
      <c r="L11" s="3">
        <f t="shared" si="14"/>
        <v>5475.6399999999976</v>
      </c>
      <c r="M11" s="3">
        <f t="shared" si="14"/>
        <v>6065.717499999997</v>
      </c>
      <c r="N11" s="3">
        <f>(N38/2)-1</f>
        <v>2750.3574999999964</v>
      </c>
      <c r="O11" s="3">
        <f t="shared" ref="O11:U11" si="15">O38/2</f>
        <v>2645.717499999997</v>
      </c>
      <c r="P11" s="3">
        <f t="shared" si="15"/>
        <v>2112.1374999999953</v>
      </c>
      <c r="Q11" s="121">
        <f t="shared" si="15"/>
        <v>2027.5249999999924</v>
      </c>
      <c r="R11" s="121">
        <f t="shared" si="15"/>
        <v>1492.7999999999938</v>
      </c>
      <c r="S11" s="121">
        <f t="shared" si="15"/>
        <v>2887.5749999999953</v>
      </c>
      <c r="T11" s="121">
        <f t="shared" si="15"/>
        <v>4560.4006249999929</v>
      </c>
      <c r="U11" s="121">
        <f t="shared" si="15"/>
        <v>2617.4881249999944</v>
      </c>
      <c r="V11" s="226">
        <f t="shared" ref="V11:AA11" si="16">V38/2</f>
        <v>276.83999999999469</v>
      </c>
      <c r="W11" s="121">
        <f t="shared" si="16"/>
        <v>772.46767671427915</v>
      </c>
      <c r="X11" s="121">
        <f t="shared" si="16"/>
        <v>-1647.943947785725</v>
      </c>
      <c r="Y11" s="121">
        <f>Y38/2</f>
        <v>-1236.5293332745659</v>
      </c>
      <c r="Z11" s="121">
        <f t="shared" si="16"/>
        <v>1851.1560352254292</v>
      </c>
      <c r="AA11" s="121">
        <f t="shared" si="16"/>
        <v>4815.5733102254362</v>
      </c>
      <c r="AB11" s="344">
        <f>AB38/2</f>
        <v>9001.2793117254478</v>
      </c>
      <c r="AC11" s="566">
        <f>AC38/2</f>
        <v>11508.649453994069</v>
      </c>
      <c r="AD11" s="566">
        <f>AD38/2</f>
        <v>13013.897258302146</v>
      </c>
      <c r="AE11" s="566">
        <f>AE38/2</f>
        <v>13774.378384187257</v>
      </c>
      <c r="AF11" s="613">
        <f>AF38/2</f>
        <v>13660.746525199494</v>
      </c>
    </row>
    <row r="12" spans="1:32" s="3" customFormat="1" x14ac:dyDescent="0.2">
      <c r="A12" s="3" t="s">
        <v>203</v>
      </c>
      <c r="B12" s="3" t="s">
        <v>238</v>
      </c>
      <c r="C12" s="3">
        <f>C42/2</f>
        <v>446.5</v>
      </c>
      <c r="D12" s="3">
        <f>D42/2</f>
        <v>472.31750000000011</v>
      </c>
      <c r="E12" s="3">
        <f>E42/2</f>
        <v>590.31750000000011</v>
      </c>
      <c r="F12" s="3">
        <f>F42/2</f>
        <v>721.31750000000011</v>
      </c>
      <c r="G12" s="3">
        <f t="shared" ref="G12:N12" si="17">G42/2</f>
        <v>404.81750000000193</v>
      </c>
      <c r="H12" s="3">
        <f t="shared" si="17"/>
        <v>401.31750000000284</v>
      </c>
      <c r="I12" s="3">
        <f t="shared" si="17"/>
        <v>351.31750000000056</v>
      </c>
      <c r="J12" s="3">
        <f t="shared" si="17"/>
        <v>338.31749999999943</v>
      </c>
      <c r="K12" s="3">
        <f t="shared" si="17"/>
        <v>351.81750000000102</v>
      </c>
      <c r="L12" s="3">
        <f t="shared" si="17"/>
        <v>410.31750000000011</v>
      </c>
      <c r="M12" s="3">
        <f t="shared" si="17"/>
        <v>421.31750000000306</v>
      </c>
      <c r="N12" s="3">
        <f t="shared" si="17"/>
        <v>435.80031500000382</v>
      </c>
      <c r="O12" s="3">
        <f t="shared" ref="O12:U12" si="18">O42/2</f>
        <v>449.1789020000042</v>
      </c>
      <c r="P12" s="3">
        <f t="shared" si="18"/>
        <v>472.2073145000038</v>
      </c>
      <c r="Q12" s="121">
        <f t="shared" si="18"/>
        <v>497.13549750000516</v>
      </c>
      <c r="R12" s="121">
        <f t="shared" si="18"/>
        <v>522.53073100000802</v>
      </c>
      <c r="S12" s="121">
        <f t="shared" si="18"/>
        <v>529.45758061765332</v>
      </c>
      <c r="T12" s="121">
        <f t="shared" si="18"/>
        <v>649.83554023529905</v>
      </c>
      <c r="U12" s="121">
        <f t="shared" si="18"/>
        <v>687.3208343529484</v>
      </c>
      <c r="V12" s="226">
        <f t="shared" ref="V12:AD12" si="19">V42/2</f>
        <v>763.52104947059343</v>
      </c>
      <c r="W12" s="121">
        <f t="shared" si="19"/>
        <v>773.87541058824002</v>
      </c>
      <c r="X12" s="121">
        <f t="shared" si="19"/>
        <v>799.45422620588795</v>
      </c>
      <c r="Y12" s="121">
        <f t="shared" si="19"/>
        <v>825.91103732353861</v>
      </c>
      <c r="Z12" s="121">
        <f t="shared" si="19"/>
        <v>853.01835694118824</v>
      </c>
      <c r="AA12" s="121">
        <f t="shared" si="19"/>
        <v>881.60331555883761</v>
      </c>
      <c r="AB12" s="344">
        <f t="shared" si="19"/>
        <v>895.46956602647913</v>
      </c>
      <c r="AC12" s="566">
        <f t="shared" si="19"/>
        <v>910.37871949425119</v>
      </c>
      <c r="AD12" s="566">
        <f t="shared" si="19"/>
        <v>924.64029045566429</v>
      </c>
      <c r="AE12" s="566">
        <f t="shared" ref="AE12:AF12" si="20">AE42/2</f>
        <v>938.31987110463797</v>
      </c>
      <c r="AF12" s="613">
        <f t="shared" si="20"/>
        <v>951.39729337327958</v>
      </c>
    </row>
    <row r="13" spans="1:32" s="121" customFormat="1" x14ac:dyDescent="0.2">
      <c r="A13" s="598" t="s">
        <v>403</v>
      </c>
      <c r="B13" s="121" t="s">
        <v>238</v>
      </c>
      <c r="U13" s="121">
        <f>U41/2</f>
        <v>0</v>
      </c>
      <c r="V13" s="226">
        <f t="shared" ref="V13:AD13" si="21">V41/2</f>
        <v>0</v>
      </c>
      <c r="W13" s="121">
        <f t="shared" si="21"/>
        <v>0</v>
      </c>
      <c r="X13" s="121">
        <f t="shared" si="21"/>
        <v>0</v>
      </c>
      <c r="Y13" s="121">
        <f t="shared" si="21"/>
        <v>0</v>
      </c>
      <c r="Z13" s="121">
        <f t="shared" si="21"/>
        <v>-0.5</v>
      </c>
      <c r="AA13" s="121">
        <f t="shared" si="21"/>
        <v>-1</v>
      </c>
      <c r="AB13" s="344">
        <f t="shared" si="21"/>
        <v>-1.5</v>
      </c>
      <c r="AC13" s="566">
        <f t="shared" si="21"/>
        <v>-1.5</v>
      </c>
      <c r="AD13" s="566">
        <f t="shared" si="21"/>
        <v>-1.5</v>
      </c>
      <c r="AE13" s="566">
        <f t="shared" ref="AE13:AF13" si="22">AE41/2</f>
        <v>-1.5</v>
      </c>
      <c r="AF13" s="613">
        <f t="shared" si="22"/>
        <v>-1.5</v>
      </c>
    </row>
    <row r="14" spans="1:32" s="3" customFormat="1" x14ac:dyDescent="0.2">
      <c r="A14" s="3" t="s">
        <v>199</v>
      </c>
      <c r="B14" s="3" t="s">
        <v>238</v>
      </c>
      <c r="C14" s="55" t="str">
        <f>+C39</f>
        <v>n/a</v>
      </c>
      <c r="D14" s="55" t="str">
        <f>+D39</f>
        <v>n/a</v>
      </c>
      <c r="E14" s="55" t="str">
        <f>+E39</f>
        <v>n/a</v>
      </c>
      <c r="F14" s="55" t="str">
        <f>+F39</f>
        <v>n/a</v>
      </c>
      <c r="G14" s="55">
        <f>+G39/2</f>
        <v>35</v>
      </c>
      <c r="H14" s="55">
        <f t="shared" ref="H14:N14" si="23">+H39/2</f>
        <v>39.5</v>
      </c>
      <c r="I14" s="55">
        <f t="shared" si="23"/>
        <v>30.5</v>
      </c>
      <c r="J14" s="55">
        <f t="shared" si="23"/>
        <v>34</v>
      </c>
      <c r="K14" s="55">
        <f t="shared" si="23"/>
        <v>26.5</v>
      </c>
      <c r="L14" s="55">
        <f t="shared" si="23"/>
        <v>22</v>
      </c>
      <c r="M14" s="55">
        <f t="shared" si="23"/>
        <v>20.5</v>
      </c>
      <c r="N14" s="55">
        <f t="shared" si="23"/>
        <v>22</v>
      </c>
      <c r="O14" s="55">
        <f t="shared" ref="O14:U14" si="24">+O39/2</f>
        <v>27</v>
      </c>
      <c r="P14" s="55">
        <f t="shared" si="24"/>
        <v>21.5</v>
      </c>
      <c r="Q14" s="144">
        <f t="shared" si="24"/>
        <v>20</v>
      </c>
      <c r="R14" s="144">
        <f t="shared" si="24"/>
        <v>18</v>
      </c>
      <c r="S14" s="144">
        <f t="shared" si="24"/>
        <v>17</v>
      </c>
      <c r="T14" s="144">
        <f t="shared" si="24"/>
        <v>15.5</v>
      </c>
      <c r="U14" s="144">
        <f t="shared" si="24"/>
        <v>23.5</v>
      </c>
      <c r="V14" s="227">
        <f t="shared" ref="V14:AA14" si="25">+V39/2</f>
        <v>28.990893499999999</v>
      </c>
      <c r="W14" s="144">
        <f t="shared" si="25"/>
        <v>29.2927505</v>
      </c>
      <c r="X14" s="144">
        <f t="shared" si="25"/>
        <v>19.860441999999999</v>
      </c>
      <c r="Y14" s="144">
        <f>+Y39/2</f>
        <v>19.6341185</v>
      </c>
      <c r="Z14" s="144">
        <f t="shared" si="25"/>
        <v>18.951650000000001</v>
      </c>
      <c r="AA14" s="144">
        <f t="shared" si="25"/>
        <v>18.367251499999998</v>
      </c>
      <c r="AB14" s="373">
        <f>+AB39/2</f>
        <v>19</v>
      </c>
      <c r="AC14" s="603">
        <f>+AC39/2</f>
        <v>21.682182705882354</v>
      </c>
      <c r="AD14" s="603">
        <f>+AD39/2</f>
        <v>21.682182705882354</v>
      </c>
      <c r="AE14" s="603">
        <f>+AE39/2</f>
        <v>21.682182705882354</v>
      </c>
      <c r="AF14" s="614">
        <f>+AF39/2</f>
        <v>21.682182705882354</v>
      </c>
    </row>
    <row r="15" spans="1:32" s="3" customFormat="1" x14ac:dyDescent="0.2">
      <c r="A15" s="3" t="s">
        <v>248</v>
      </c>
      <c r="B15" s="3" t="s">
        <v>239</v>
      </c>
      <c r="C15" s="3">
        <f>'initial ufl'!C12</f>
        <v>0</v>
      </c>
      <c r="D15" s="3">
        <f>'initial ufl'!D12</f>
        <v>0</v>
      </c>
      <c r="E15" s="3">
        <f>'initial ufl'!E12</f>
        <v>0</v>
      </c>
      <c r="F15" s="3">
        <f>'initial ufl'!F12</f>
        <v>2264</v>
      </c>
      <c r="G15" s="3">
        <f>'initial ufl'!G12</f>
        <v>2090</v>
      </c>
      <c r="H15" s="3">
        <f>'initial ufl'!H12</f>
        <v>1916</v>
      </c>
      <c r="I15" s="3">
        <f>'initial ufl'!I12</f>
        <v>1742</v>
      </c>
      <c r="J15" s="3">
        <f>'initial ufl'!J12</f>
        <v>1568</v>
      </c>
      <c r="K15" s="3">
        <f>'initial ufl'!K12</f>
        <v>1394</v>
      </c>
      <c r="L15" s="3">
        <f>'initial ufl'!L12</f>
        <v>1220</v>
      </c>
      <c r="M15" s="3">
        <f>'initial ufl'!M12</f>
        <v>1046</v>
      </c>
      <c r="N15" s="3">
        <f>'initial ufl'!N12-1</f>
        <v>871</v>
      </c>
      <c r="O15" s="3">
        <f>'initial ufl'!O12</f>
        <v>698</v>
      </c>
      <c r="P15" s="3">
        <f>'initial ufl'!P12</f>
        <v>524</v>
      </c>
      <c r="Q15" s="121">
        <f>'initial ufl'!Q12</f>
        <v>350</v>
      </c>
      <c r="R15" s="121">
        <f>'initial ufl'!R12</f>
        <v>176</v>
      </c>
      <c r="S15" s="121">
        <f>'initial ufl'!S12</f>
        <v>0</v>
      </c>
      <c r="T15" s="121">
        <f>'initial ufl'!T12</f>
        <v>0</v>
      </c>
      <c r="U15" s="121">
        <f>'initial ufl'!U12</f>
        <v>0</v>
      </c>
      <c r="V15" s="226">
        <f>'initial ufl'!V12</f>
        <v>0</v>
      </c>
      <c r="W15" s="121">
        <f>'initial ufl'!W12</f>
        <v>0</v>
      </c>
      <c r="X15" s="121">
        <f>'initial ufl'!X12</f>
        <v>0</v>
      </c>
      <c r="Y15" s="121">
        <f>'initial ufl'!Y12</f>
        <v>0</v>
      </c>
      <c r="Z15" s="121">
        <f>'initial ufl'!Z12</f>
        <v>0</v>
      </c>
      <c r="AA15" s="121">
        <f>'initial ufl'!AA12</f>
        <v>0</v>
      </c>
      <c r="AB15" s="344">
        <f>'initial ufl'!AB12</f>
        <v>0</v>
      </c>
      <c r="AC15" s="566">
        <f>'initial ufl'!AC12</f>
        <v>0</v>
      </c>
      <c r="AD15" s="566">
        <f>'initial ufl'!AD12</f>
        <v>0</v>
      </c>
      <c r="AE15" s="566">
        <f>'initial ufl'!AE12</f>
        <v>0</v>
      </c>
      <c r="AF15" s="613">
        <f>'initial ufl'!AF12</f>
        <v>0</v>
      </c>
    </row>
    <row r="16" spans="1:32" s="3" customFormat="1" x14ac:dyDescent="0.2">
      <c r="A16" s="3" t="s">
        <v>249</v>
      </c>
      <c r="B16" s="3" t="s">
        <v>240</v>
      </c>
      <c r="C16" s="24" t="s">
        <v>12</v>
      </c>
      <c r="D16" s="24" t="s">
        <v>12</v>
      </c>
      <c r="E16" s="24" t="s">
        <v>12</v>
      </c>
      <c r="F16" s="24">
        <f>contributions!C52*-1</f>
        <v>118.5</v>
      </c>
      <c r="G16" s="24">
        <f>contributions!D52*-1</f>
        <v>179</v>
      </c>
      <c r="H16" s="24">
        <f>contributions!E52*-1</f>
        <v>136</v>
      </c>
      <c r="I16" s="24">
        <f>contributions!F52*-1</f>
        <v>-18.5</v>
      </c>
      <c r="J16" s="24">
        <f>contributions!G52*-1</f>
        <v>-271.5</v>
      </c>
      <c r="K16" s="24">
        <f>contributions!H52*-1</f>
        <v>-479.5</v>
      </c>
      <c r="L16" s="24">
        <f>contributions!I52*-1</f>
        <v>-459.5</v>
      </c>
      <c r="M16" s="24">
        <f>contributions!J52*-1</f>
        <v>-425</v>
      </c>
      <c r="N16" s="24">
        <f>contributions!K52*-1</f>
        <v>-385.51718499999993</v>
      </c>
      <c r="O16" s="24">
        <f>contributions!L52*-1</f>
        <v>-342.138598</v>
      </c>
      <c r="P16" s="24">
        <f>contributions!M52*-1</f>
        <v>-289.1101855</v>
      </c>
      <c r="Q16" s="131">
        <f>contributions!N52*-1</f>
        <v>-234.68200250000001</v>
      </c>
      <c r="R16" s="131">
        <f>contributions!O52*-1</f>
        <v>-173.78676899999999</v>
      </c>
      <c r="S16" s="131">
        <f>contributions!P52*-1</f>
        <v>-130.8452135</v>
      </c>
      <c r="T16" s="131">
        <f>contributions!Q52*-1</f>
        <v>38.547452000000021</v>
      </c>
      <c r="U16" s="131">
        <f>contributions!R52*-1</f>
        <v>112.54745200000002</v>
      </c>
      <c r="V16" s="228">
        <f>contributions!S52*-1</f>
        <v>177.26237300000003</v>
      </c>
      <c r="W16" s="131">
        <f>contributions!T52*-1</f>
        <v>190.22886857142856</v>
      </c>
      <c r="X16" s="131">
        <f>contributions!U52*-1</f>
        <v>201.82239007142852</v>
      </c>
      <c r="Y16" s="131">
        <f>contributions!V52*-1</f>
        <v>222.15202314285705</v>
      </c>
      <c r="Z16" s="131">
        <f>contributions!W52*-1</f>
        <v>238.274048642857</v>
      </c>
      <c r="AA16" s="131">
        <f>contributions!X52*-1</f>
        <v>255.87371314285701</v>
      </c>
      <c r="AB16" s="349">
        <f>contributions!Y52*-1</f>
        <v>254.25466949285703</v>
      </c>
      <c r="AC16" s="604">
        <f>contributions!Z52*-1</f>
        <v>247.6068075315182</v>
      </c>
      <c r="AD16" s="604">
        <f>contributions!AA52*-1</f>
        <v>241.74880494170486</v>
      </c>
      <c r="AE16" s="604">
        <f>contributions!AB52*-1</f>
        <v>234.62797737593644</v>
      </c>
      <c r="AF16" s="615">
        <f>contributions!AC52*-1</f>
        <v>227.2356006387343</v>
      </c>
    </row>
    <row r="17" spans="1:32" s="49" customFormat="1" ht="15.75" x14ac:dyDescent="0.25">
      <c r="A17" s="52" t="s">
        <v>476</v>
      </c>
      <c r="B17" s="9" t="s">
        <v>241</v>
      </c>
      <c r="C17" s="56">
        <f t="shared" ref="C17:Q17" si="26">SUM(C8:C16)</f>
        <v>2580</v>
      </c>
      <c r="D17" s="56">
        <f t="shared" si="26"/>
        <v>2585.0325000000003</v>
      </c>
      <c r="E17" s="56">
        <f t="shared" si="26"/>
        <v>2437.5287500000004</v>
      </c>
      <c r="F17" s="56">
        <f t="shared" si="26"/>
        <v>4833.5756249999986</v>
      </c>
      <c r="G17" s="587">
        <f t="shared" si="26"/>
        <v>4758.4693749999997</v>
      </c>
      <c r="H17" s="587">
        <f t="shared" si="26"/>
        <v>4568.6631250000028</v>
      </c>
      <c r="I17" s="587">
        <f t="shared" si="26"/>
        <v>4017.5006250000019</v>
      </c>
      <c r="J17" s="587">
        <f t="shared" si="26"/>
        <v>3129.744999999999</v>
      </c>
      <c r="K17" s="587">
        <f t="shared" si="26"/>
        <v>2146.8162500000017</v>
      </c>
      <c r="L17" s="587">
        <f t="shared" si="26"/>
        <v>1321.9574999999977</v>
      </c>
      <c r="M17" s="587">
        <f t="shared" si="26"/>
        <v>282.03500000000008</v>
      </c>
      <c r="N17" s="587">
        <f t="shared" si="26"/>
        <v>-336.35936999999967</v>
      </c>
      <c r="O17" s="587">
        <f t="shared" si="26"/>
        <v>-791.24219599999878</v>
      </c>
      <c r="P17" s="587">
        <f t="shared" si="26"/>
        <v>-1233.2653710000009</v>
      </c>
      <c r="Q17" s="587">
        <f t="shared" si="26"/>
        <v>-1691.0215050000024</v>
      </c>
      <c r="R17" s="588">
        <f t="shared" ref="R17:AA17" si="27">SUM(R8:R16)</f>
        <v>-2125.956037999998</v>
      </c>
      <c r="S17" s="588">
        <f t="shared" si="27"/>
        <v>-2561.812632882351</v>
      </c>
      <c r="T17" s="588">
        <f t="shared" si="27"/>
        <v>-3016.2163827647082</v>
      </c>
      <c r="U17" s="588">
        <f t="shared" si="27"/>
        <v>-4026.6435886470572</v>
      </c>
      <c r="V17" s="589">
        <f t="shared" si="27"/>
        <v>-5005.385684029412</v>
      </c>
      <c r="W17" s="588">
        <f t="shared" si="27"/>
        <v>-5798.6352936260528</v>
      </c>
      <c r="X17" s="588">
        <f t="shared" si="27"/>
        <v>-6622.8068895084089</v>
      </c>
      <c r="Y17" s="588">
        <f t="shared" si="27"/>
        <v>-7123.8321543081702</v>
      </c>
      <c r="Z17" s="588">
        <f t="shared" si="27"/>
        <v>-7710.5999091905251</v>
      </c>
      <c r="AA17" s="588">
        <f t="shared" si="27"/>
        <v>-8667.0824095728694</v>
      </c>
      <c r="AB17" s="590">
        <f>SUM(AB8:AB16)</f>
        <v>-10146.996452755217</v>
      </c>
      <c r="AC17" s="624">
        <f>SUM(AC8:AC16)</f>
        <v>-12270.54140867866</v>
      </c>
      <c r="AD17" s="624">
        <f>SUM(AD8:AD16)</f>
        <v>-14828.832650718925</v>
      </c>
      <c r="AE17" s="624">
        <f>SUM(AE8:AE16)</f>
        <v>-17739.728708798732</v>
      </c>
      <c r="AF17" s="625">
        <f>SUM(AF8:AF16)</f>
        <v>-20955.899667972204</v>
      </c>
    </row>
    <row r="18" spans="1:32" s="49" customFormat="1" ht="15.75" x14ac:dyDescent="0.25">
      <c r="A18" s="52" t="s">
        <v>477</v>
      </c>
      <c r="B18" s="296" t="s">
        <v>500</v>
      </c>
      <c r="C18" s="71">
        <f>'Valuation Allowance'!C39</f>
        <v>0</v>
      </c>
      <c r="D18" s="71">
        <f>'Valuation Allowance'!D39</f>
        <v>0</v>
      </c>
      <c r="E18" s="71">
        <f>'Valuation Allowance'!E39</f>
        <v>0</v>
      </c>
      <c r="F18" s="71">
        <f>'Valuation Allowance'!F39</f>
        <v>0</v>
      </c>
      <c r="G18" s="71">
        <f>'Valuation Allowance'!G39</f>
        <v>0</v>
      </c>
      <c r="H18" s="71">
        <f>'Valuation Allowance'!H39</f>
        <v>0</v>
      </c>
      <c r="I18" s="71">
        <f>'Valuation Allowance'!I39</f>
        <v>0</v>
      </c>
      <c r="J18" s="71">
        <f>'Valuation Allowance'!J39</f>
        <v>0</v>
      </c>
      <c r="K18" s="71">
        <f>'Valuation Allowance'!K39</f>
        <v>0</v>
      </c>
      <c r="L18" s="71">
        <f>'Valuation Allowance'!L39</f>
        <v>0</v>
      </c>
      <c r="M18" s="71">
        <f>'Valuation Allowance'!M39</f>
        <v>0</v>
      </c>
      <c r="N18" s="71">
        <f>'Valuation Allowance'!N39</f>
        <v>336.35936999999967</v>
      </c>
      <c r="O18" s="71">
        <f>'Valuation Allowance'!O39</f>
        <v>0</v>
      </c>
      <c r="P18" s="71">
        <f>'Valuation Allowance'!P39</f>
        <v>1233.2653710000009</v>
      </c>
      <c r="Q18" s="71">
        <f>'Valuation Allowance'!Q39</f>
        <v>1691.0215050000024</v>
      </c>
      <c r="R18" s="71">
        <f>'Valuation Allowance'!R39</f>
        <v>2125.956037999998</v>
      </c>
      <c r="S18" s="71">
        <f>'Valuation Allowance'!S39</f>
        <v>2561.812632882351</v>
      </c>
      <c r="T18" s="71">
        <f>'Valuation Allowance'!T39</f>
        <v>3016.2163827647082</v>
      </c>
      <c r="U18" s="71">
        <f>'Valuation Allowance'!U39</f>
        <v>0</v>
      </c>
      <c r="V18" s="71">
        <f>'Valuation Allowance'!V39</f>
        <v>0</v>
      </c>
      <c r="W18" s="71">
        <f>'Valuation Allowance'!W39</f>
        <v>3243.1029703403319</v>
      </c>
      <c r="X18" s="71">
        <f>'Valuation Allowance'!X39</f>
        <v>5681.8629417226839</v>
      </c>
      <c r="Y18" s="71">
        <f>'Valuation Allowance'!Y39</f>
        <v>7123.8321543081702</v>
      </c>
      <c r="Z18" s="71">
        <f>'Valuation Allowance'!Z39</f>
        <v>7710.5999091905251</v>
      </c>
      <c r="AA18" s="71">
        <f>'Valuation Allowance'!AA39</f>
        <v>8667.0824095728694</v>
      </c>
      <c r="AB18" s="378">
        <f>'Valuation Allowance'!AB39</f>
        <v>10146.996452755217</v>
      </c>
      <c r="AC18" s="605">
        <f>'Valuation Allowance'!AC39</f>
        <v>12270.54140867866</v>
      </c>
      <c r="AD18" s="605">
        <f>'Valuation Allowance'!AD39</f>
        <v>14828.832650718925</v>
      </c>
      <c r="AE18" s="605">
        <f>'Valuation Allowance'!AE39</f>
        <v>17739.728708798732</v>
      </c>
      <c r="AF18" s="616">
        <f>'Valuation Allowance'!AF39</f>
        <v>20955.899667972204</v>
      </c>
    </row>
    <row r="19" spans="1:32" s="9" customFormat="1" ht="18.75" thickBot="1" x14ac:dyDescent="0.3">
      <c r="A19" s="591" t="s">
        <v>479</v>
      </c>
      <c r="B19" s="591"/>
      <c r="C19" s="591">
        <f t="shared" ref="C19:F19" si="28">C17+C18</f>
        <v>2580</v>
      </c>
      <c r="D19" s="591">
        <f t="shared" si="28"/>
        <v>2585.0325000000003</v>
      </c>
      <c r="E19" s="591">
        <f t="shared" si="28"/>
        <v>2437.5287500000004</v>
      </c>
      <c r="F19" s="591">
        <f t="shared" si="28"/>
        <v>4833.5756249999986</v>
      </c>
      <c r="G19" s="591">
        <f>G17+G18</f>
        <v>4758.4693749999997</v>
      </c>
      <c r="H19" s="591">
        <f t="shared" ref="H19:AB19" si="29">H17+H18</f>
        <v>4568.6631250000028</v>
      </c>
      <c r="I19" s="591">
        <f t="shared" si="29"/>
        <v>4017.5006250000019</v>
      </c>
      <c r="J19" s="591">
        <f t="shared" si="29"/>
        <v>3129.744999999999</v>
      </c>
      <c r="K19" s="591">
        <f t="shared" si="29"/>
        <v>2146.8162500000017</v>
      </c>
      <c r="L19" s="591">
        <f t="shared" si="29"/>
        <v>1321.9574999999977</v>
      </c>
      <c r="M19" s="591">
        <f t="shared" si="29"/>
        <v>282.03500000000008</v>
      </c>
      <c r="N19" s="591">
        <f t="shared" si="29"/>
        <v>0</v>
      </c>
      <c r="O19" s="591">
        <f t="shared" si="29"/>
        <v>-791.24219599999878</v>
      </c>
      <c r="P19" s="591">
        <f t="shared" si="29"/>
        <v>0</v>
      </c>
      <c r="Q19" s="591">
        <f t="shared" si="29"/>
        <v>0</v>
      </c>
      <c r="R19" s="591">
        <f t="shared" si="29"/>
        <v>0</v>
      </c>
      <c r="S19" s="591">
        <f t="shared" si="29"/>
        <v>0</v>
      </c>
      <c r="T19" s="591">
        <f t="shared" si="29"/>
        <v>0</v>
      </c>
      <c r="U19" s="591">
        <f t="shared" si="29"/>
        <v>-4026.6435886470572</v>
      </c>
      <c r="V19" s="591">
        <f t="shared" si="29"/>
        <v>-5005.385684029412</v>
      </c>
      <c r="W19" s="591">
        <f t="shared" si="29"/>
        <v>-2555.5323232857208</v>
      </c>
      <c r="X19" s="591">
        <f t="shared" si="29"/>
        <v>-940.94394778572496</v>
      </c>
      <c r="Y19" s="591">
        <f t="shared" si="29"/>
        <v>0</v>
      </c>
      <c r="Z19" s="591">
        <f t="shared" si="29"/>
        <v>0</v>
      </c>
      <c r="AA19" s="591">
        <f t="shared" si="29"/>
        <v>0</v>
      </c>
      <c r="AB19" s="599">
        <f t="shared" si="29"/>
        <v>0</v>
      </c>
      <c r="AC19" s="606">
        <f t="shared" ref="AC19" si="30">AC17+AC18</f>
        <v>0</v>
      </c>
      <c r="AD19" s="606">
        <f t="shared" ref="AD19" si="31">AD17+AD18</f>
        <v>0</v>
      </c>
      <c r="AE19" s="606">
        <f t="shared" ref="AE19" si="32">AE17+AE18</f>
        <v>0</v>
      </c>
      <c r="AF19" s="617">
        <f t="shared" ref="AF19" si="33">AF17+AF18</f>
        <v>0</v>
      </c>
    </row>
    <row r="20" spans="1:32" s="9" customFormat="1" ht="13.5" thickTop="1" x14ac:dyDescent="0.2">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600"/>
      <c r="AC20" s="607"/>
      <c r="AD20" s="607"/>
      <c r="AE20" s="607"/>
      <c r="AF20" s="618"/>
    </row>
    <row r="21" spans="1:32" s="9" customFormat="1" hidden="1" outlineLevel="1" x14ac:dyDescent="0.2">
      <c r="N21" s="9" t="s">
        <v>307</v>
      </c>
      <c r="O21" s="70">
        <f>O17*1000000</f>
        <v>-791242195.99999881</v>
      </c>
      <c r="P21" s="70">
        <f t="shared" ref="P21:AB21" si="34">P17*1000000</f>
        <v>-1233265371.000001</v>
      </c>
      <c r="Q21" s="70">
        <f t="shared" si="34"/>
        <v>-1691021505.0000024</v>
      </c>
      <c r="R21" s="70">
        <f t="shared" si="34"/>
        <v>-2125956037.9999981</v>
      </c>
      <c r="S21" s="70">
        <f t="shared" si="34"/>
        <v>-2561812632.8823509</v>
      </c>
      <c r="T21" s="70">
        <f t="shared" si="34"/>
        <v>-3016216382.764708</v>
      </c>
      <c r="U21" s="209">
        <f t="shared" si="34"/>
        <v>-4026643588.6470571</v>
      </c>
      <c r="V21" s="209">
        <f t="shared" si="34"/>
        <v>-5005385684.0294123</v>
      </c>
      <c r="W21" s="209">
        <f t="shared" si="34"/>
        <v>-5798635293.6260529</v>
      </c>
      <c r="X21" s="209">
        <f t="shared" si="34"/>
        <v>-6622806889.5084085</v>
      </c>
      <c r="Y21" s="209">
        <f t="shared" si="34"/>
        <v>-7123832154.3081703</v>
      </c>
      <c r="Z21" s="146">
        <f t="shared" si="34"/>
        <v>-7710599909.1905251</v>
      </c>
      <c r="AA21" s="146">
        <f t="shared" si="34"/>
        <v>-8667082409.5728703</v>
      </c>
      <c r="AB21" s="343">
        <f t="shared" si="34"/>
        <v>-10146996452.755217</v>
      </c>
      <c r="AC21" s="608"/>
      <c r="AD21" s="608"/>
      <c r="AE21" s="608"/>
      <c r="AF21" s="619"/>
    </row>
    <row r="22" spans="1:32" s="9" customFormat="1" collapsed="1" x14ac:dyDescent="0.2">
      <c r="O22" s="574">
        <f>O19*1000000</f>
        <v>-791242195.99999881</v>
      </c>
      <c r="P22" s="574">
        <f t="shared" ref="P22:AB22" si="35">P19*1000000</f>
        <v>0</v>
      </c>
      <c r="Q22" s="574">
        <f t="shared" si="35"/>
        <v>0</v>
      </c>
      <c r="R22" s="574">
        <f t="shared" si="35"/>
        <v>0</v>
      </c>
      <c r="S22" s="574">
        <f t="shared" si="35"/>
        <v>0</v>
      </c>
      <c r="T22" s="574">
        <f t="shared" si="35"/>
        <v>0</v>
      </c>
      <c r="U22" s="574">
        <f t="shared" si="35"/>
        <v>-4026643588.6470571</v>
      </c>
      <c r="V22" s="574">
        <f t="shared" si="35"/>
        <v>-5005385684.0294123</v>
      </c>
      <c r="W22" s="574">
        <f t="shared" si="35"/>
        <v>-2555532323.2857208</v>
      </c>
      <c r="X22" s="574">
        <f t="shared" si="35"/>
        <v>-940943947.785725</v>
      </c>
      <c r="Y22" s="574">
        <f t="shared" si="35"/>
        <v>0</v>
      </c>
      <c r="Z22" s="574">
        <f t="shared" si="35"/>
        <v>0</v>
      </c>
      <c r="AA22" s="574">
        <f t="shared" si="35"/>
        <v>0</v>
      </c>
      <c r="AB22" s="601">
        <f t="shared" si="35"/>
        <v>0</v>
      </c>
      <c r="AC22" s="608"/>
      <c r="AD22" s="608"/>
      <c r="AE22" s="608"/>
      <c r="AF22" s="619"/>
    </row>
    <row r="23" spans="1:32" s="9" customFormat="1" x14ac:dyDescent="0.2">
      <c r="O23" s="574"/>
      <c r="P23" s="574"/>
      <c r="Q23" s="574"/>
      <c r="R23" s="574"/>
      <c r="S23" s="574"/>
      <c r="T23" s="574"/>
      <c r="U23" s="574"/>
      <c r="V23" s="574"/>
      <c r="W23" s="574"/>
      <c r="X23" s="574"/>
      <c r="Y23" s="574"/>
      <c r="Z23" s="574"/>
      <c r="AA23" s="574"/>
      <c r="AB23" s="601"/>
      <c r="AC23" s="608"/>
      <c r="AD23" s="608"/>
      <c r="AE23" s="608"/>
      <c r="AF23" s="619"/>
    </row>
    <row r="24" spans="1:32" s="9" customFormat="1" x14ac:dyDescent="0.2">
      <c r="A24" s="12" t="s">
        <v>255</v>
      </c>
      <c r="Q24" s="146"/>
      <c r="R24" s="146"/>
      <c r="S24" s="146"/>
      <c r="T24" s="146"/>
      <c r="U24" s="146"/>
      <c r="V24" s="146"/>
      <c r="W24" s="146"/>
      <c r="X24" s="146"/>
      <c r="Y24" s="146"/>
      <c r="Z24" s="146"/>
      <c r="AA24" s="146"/>
      <c r="AB24" s="343"/>
      <c r="AC24" s="607"/>
      <c r="AD24" s="607"/>
      <c r="AE24" s="607"/>
      <c r="AF24" s="618"/>
    </row>
    <row r="25" spans="1:32" s="9" customFormat="1" x14ac:dyDescent="0.2">
      <c r="A25" s="9" t="s">
        <v>252</v>
      </c>
      <c r="B25" s="9" t="s">
        <v>66</v>
      </c>
      <c r="C25" s="596"/>
      <c r="D25" s="596"/>
      <c r="E25" s="596"/>
      <c r="F25" s="596"/>
      <c r="G25" s="9">
        <f>F19</f>
        <v>4833.5756249999986</v>
      </c>
      <c r="H25" s="9">
        <f>G19</f>
        <v>4758.4693749999997</v>
      </c>
      <c r="I25" s="9">
        <f t="shared" ref="I25:AF25" si="36">H19</f>
        <v>4568.6631250000028</v>
      </c>
      <c r="J25" s="9">
        <f t="shared" si="36"/>
        <v>4017.5006250000019</v>
      </c>
      <c r="K25" s="9">
        <f t="shared" si="36"/>
        <v>3129.744999999999</v>
      </c>
      <c r="L25" s="9">
        <f t="shared" si="36"/>
        <v>2146.8162500000017</v>
      </c>
      <c r="M25" s="9">
        <f t="shared" si="36"/>
        <v>1321.9574999999977</v>
      </c>
      <c r="N25" s="9">
        <f t="shared" si="36"/>
        <v>282.03500000000008</v>
      </c>
      <c r="O25" s="9">
        <f t="shared" si="36"/>
        <v>0</v>
      </c>
      <c r="P25" s="9">
        <f t="shared" si="36"/>
        <v>-791.24219599999878</v>
      </c>
      <c r="Q25" s="9">
        <f t="shared" si="36"/>
        <v>0</v>
      </c>
      <c r="R25" s="9">
        <f t="shared" si="36"/>
        <v>0</v>
      </c>
      <c r="S25" s="9">
        <f t="shared" si="36"/>
        <v>0</v>
      </c>
      <c r="T25" s="9">
        <f t="shared" si="36"/>
        <v>0</v>
      </c>
      <c r="U25" s="9">
        <f t="shared" si="36"/>
        <v>0</v>
      </c>
      <c r="V25" s="9">
        <f t="shared" si="36"/>
        <v>-4026.6435886470572</v>
      </c>
      <c r="W25" s="9">
        <f t="shared" si="36"/>
        <v>-5005.385684029412</v>
      </c>
      <c r="X25" s="9">
        <f t="shared" si="36"/>
        <v>-2555.5323232857208</v>
      </c>
      <c r="Y25" s="9">
        <f t="shared" si="36"/>
        <v>-940.94394778572496</v>
      </c>
      <c r="Z25" s="9">
        <f t="shared" si="36"/>
        <v>0</v>
      </c>
      <c r="AA25" s="9">
        <f t="shared" si="36"/>
        <v>0</v>
      </c>
      <c r="AB25" s="343">
        <f t="shared" si="36"/>
        <v>0</v>
      </c>
      <c r="AC25" s="607">
        <f t="shared" si="36"/>
        <v>0</v>
      </c>
      <c r="AD25" s="607">
        <f t="shared" si="36"/>
        <v>0</v>
      </c>
      <c r="AE25" s="607">
        <f t="shared" si="36"/>
        <v>0</v>
      </c>
      <c r="AF25" s="618">
        <f t="shared" si="36"/>
        <v>0</v>
      </c>
    </row>
    <row r="26" spans="1:32" s="9" customFormat="1" x14ac:dyDescent="0.2">
      <c r="A26" s="9" t="s">
        <v>211</v>
      </c>
      <c r="B26" s="9" t="s">
        <v>227</v>
      </c>
      <c r="C26" s="596"/>
      <c r="D26" s="596"/>
      <c r="E26" s="596"/>
      <c r="F26" s="596"/>
      <c r="G26" s="9">
        <f>expense!G19</f>
        <v>490.89374999999995</v>
      </c>
      <c r="H26" s="9">
        <f>expense!H19</f>
        <v>496.19374999999991</v>
      </c>
      <c r="I26" s="9">
        <f>expense!I19</f>
        <v>374.83750000000009</v>
      </c>
      <c r="J26" s="9">
        <f>expense!J19</f>
        <v>244.24437499999999</v>
      </c>
      <c r="K26" s="9">
        <f>expense!K19</f>
        <v>126.07124999999996</v>
      </c>
      <c r="L26" s="9">
        <f>expense!L19</f>
        <v>-157.8587500000001</v>
      </c>
      <c r="M26" s="9">
        <f>expense!M19</f>
        <v>-404.9224999999999</v>
      </c>
      <c r="N26" s="9">
        <f>expense!N19</f>
        <v>29.139999999999873</v>
      </c>
      <c r="O26" s="9">
        <f>expense!O19</f>
        <v>221.36000000000013</v>
      </c>
      <c r="P26" s="9">
        <f>expense!P19</f>
        <v>241.41999999999962</v>
      </c>
      <c r="Q26" s="146">
        <f>expense!Q19</f>
        <v>250.38749999999982</v>
      </c>
      <c r="R26" s="146">
        <f>expense!R19</f>
        <v>305.27499999999964</v>
      </c>
      <c r="S26" s="146">
        <f>expense!S19</f>
        <v>359.26029411764716</v>
      </c>
      <c r="T26" s="146">
        <f>expense!T19</f>
        <v>353.81091911764702</v>
      </c>
      <c r="U26" s="146">
        <f>expense!U19</f>
        <v>59.572794117647149</v>
      </c>
      <c r="V26" s="146">
        <f>expense!V19</f>
        <v>265.82806261764733</v>
      </c>
      <c r="W26" s="146">
        <f>expense!W19</f>
        <v>523.01225640336088</v>
      </c>
      <c r="X26" s="146">
        <f>expense!X19</f>
        <v>519.14136111764719</v>
      </c>
      <c r="Y26" s="146">
        <f>expense!Y19</f>
        <v>892.03170120023663</v>
      </c>
      <c r="Z26" s="146">
        <f>expense!Z19</f>
        <v>874.98819411764703</v>
      </c>
      <c r="AA26" s="146">
        <f>expense!AA19</f>
        <v>568.81817061764684</v>
      </c>
      <c r="AB26" s="343">
        <f>expense!AB19</f>
        <v>118.32404411764651</v>
      </c>
      <c r="AC26" s="607">
        <f>expense!AC19</f>
        <v>-459.36863090785755</v>
      </c>
      <c r="AD26" s="607">
        <f>expense!AD19</f>
        <v>-825.65879900649043</v>
      </c>
      <c r="AE26" s="607">
        <f>expense!AE19</f>
        <v>-1116.7412651971297</v>
      </c>
      <c r="AF26" s="618">
        <f>expense!AF19</f>
        <v>-1358.3618446496812</v>
      </c>
    </row>
    <row r="27" spans="1:32" s="9" customFormat="1" x14ac:dyDescent="0.2">
      <c r="A27" s="578" t="s">
        <v>499</v>
      </c>
      <c r="B27" s="592" t="s">
        <v>227</v>
      </c>
      <c r="C27" s="597"/>
      <c r="D27" s="597"/>
      <c r="E27" s="597"/>
      <c r="F27" s="597"/>
      <c r="G27" s="578">
        <f>expense!G20</f>
        <v>0</v>
      </c>
      <c r="H27" s="578">
        <f>expense!H20</f>
        <v>0</v>
      </c>
      <c r="I27" s="578">
        <f>expense!I20</f>
        <v>0</v>
      </c>
      <c r="J27" s="578">
        <f>expense!J20</f>
        <v>0</v>
      </c>
      <c r="K27" s="578">
        <f>expense!K20</f>
        <v>0</v>
      </c>
      <c r="L27" s="578">
        <f>expense!L20</f>
        <v>0</v>
      </c>
      <c r="M27" s="578">
        <f>expense!M20</f>
        <v>0</v>
      </c>
      <c r="N27" s="578">
        <f>expense!N20</f>
        <v>336.35936999999967</v>
      </c>
      <c r="O27" s="578">
        <f>expense!O20</f>
        <v>-336.35936999999967</v>
      </c>
      <c r="P27" s="578">
        <f>expense!P20</f>
        <v>1233.2653710000009</v>
      </c>
      <c r="Q27" s="578">
        <f>expense!Q20</f>
        <v>457.75613400000157</v>
      </c>
      <c r="R27" s="578">
        <f>expense!R20</f>
        <v>434.93453299999555</v>
      </c>
      <c r="S27" s="578">
        <f>expense!S20</f>
        <v>435.85659488235297</v>
      </c>
      <c r="T27" s="578">
        <f>expense!T20</f>
        <v>454.40374988235726</v>
      </c>
      <c r="U27" s="578">
        <f>expense!U20</f>
        <v>-3016.2163827647082</v>
      </c>
      <c r="V27" s="578">
        <f>expense!V20</f>
        <v>0</v>
      </c>
      <c r="W27" s="578">
        <f>expense!W20</f>
        <v>3243.1029703403319</v>
      </c>
      <c r="X27" s="578">
        <f>expense!X20</f>
        <v>2438.759971382352</v>
      </c>
      <c r="Y27" s="578">
        <f>expense!Y20</f>
        <v>1441.9692125854863</v>
      </c>
      <c r="Z27" s="578">
        <f>expense!Z20</f>
        <v>586.76775488235489</v>
      </c>
      <c r="AA27" s="578">
        <f>expense!AA20</f>
        <v>956.48250038234437</v>
      </c>
      <c r="AB27" s="602">
        <f>expense!AB20</f>
        <v>1479.9140431823471</v>
      </c>
      <c r="AC27" s="607">
        <f>expense!AC20</f>
        <v>2123.5449559234439</v>
      </c>
      <c r="AD27" s="607">
        <f>expense!AD20</f>
        <v>2558.2912420402645</v>
      </c>
      <c r="AE27" s="607">
        <f>expense!AE20</f>
        <v>2910.8960580798066</v>
      </c>
      <c r="AF27" s="618">
        <f>expense!AF20</f>
        <v>3216.1709591734725</v>
      </c>
    </row>
    <row r="28" spans="1:32" s="9" customFormat="1" x14ac:dyDescent="0.2">
      <c r="A28" s="9" t="s">
        <v>251</v>
      </c>
      <c r="B28" s="9" t="s">
        <v>254</v>
      </c>
      <c r="C28" s="596"/>
      <c r="D28" s="596"/>
      <c r="E28" s="596"/>
      <c r="F28" s="596"/>
      <c r="G28" s="57">
        <f>'Data Input'!H46*-1</f>
        <v>-566</v>
      </c>
      <c r="H28" s="57">
        <f>'Data Input'!I46*-1</f>
        <v>-686</v>
      </c>
      <c r="I28" s="57">
        <f>'Data Input'!J46*-1</f>
        <v>-926</v>
      </c>
      <c r="J28" s="57">
        <f>'Data Input'!K46*-1</f>
        <v>-1132</v>
      </c>
      <c r="K28" s="57">
        <f>'Data Input'!L46*-1</f>
        <v>-1109</v>
      </c>
      <c r="L28" s="57">
        <f>'Data Input'!M46*-1</f>
        <v>-667</v>
      </c>
      <c r="M28" s="57">
        <f>'Data Input'!N46*-1</f>
        <v>-635</v>
      </c>
      <c r="N28" s="57">
        <f>'Data Input'!O46*-1</f>
        <v>-645.03436999999997</v>
      </c>
      <c r="O28" s="57">
        <f>'Data Input'!P46*-1</f>
        <v>-676.24282600000004</v>
      </c>
      <c r="P28" s="57">
        <f>'Data Input'!Q46*-1</f>
        <v>-682.943175</v>
      </c>
      <c r="Q28" s="147">
        <f>'Data Input'!R46*-1</f>
        <v>-708.14363400000002</v>
      </c>
      <c r="R28" s="147">
        <f>'Data Input'!S46*-1</f>
        <v>-740.20953299999996</v>
      </c>
      <c r="S28" s="147">
        <f>'Data Input'!T46*-1</f>
        <v>-795.11688900000001</v>
      </c>
      <c r="T28" s="147">
        <f>'Data Input'!U46*-1</f>
        <v>-808.21466899999996</v>
      </c>
      <c r="U28" s="147">
        <f>'Data Input'!V46*-1</f>
        <v>-1070</v>
      </c>
      <c r="V28" s="147">
        <f>'Data Input'!W46*-1</f>
        <v>-1244.570158</v>
      </c>
      <c r="W28" s="147">
        <f>'Data Input'!X46*-1</f>
        <v>-1316.2618660000001</v>
      </c>
      <c r="X28" s="147">
        <f>'Data Input'!Y46*-1</f>
        <v>-1343.8129570000001</v>
      </c>
      <c r="Y28" s="147">
        <f>'Data Input'!Z46*-1</f>
        <v>-1393.0569660000001</v>
      </c>
      <c r="Z28" s="147">
        <f>'Data Input'!AA46*-1</f>
        <v>-1460.7559490000001</v>
      </c>
      <c r="AA28" s="147">
        <f>'Data Input'!AB46*-1</f>
        <v>-1525.800671</v>
      </c>
      <c r="AB28" s="375">
        <f>'Data Input'!AC46*-1</f>
        <v>-1598.2380873</v>
      </c>
      <c r="AC28" s="609">
        <f>'Data Input'!AD46*-1</f>
        <v>-1664.1763250155739</v>
      </c>
      <c r="AD28" s="609">
        <f>'Data Input'!AE46*-1</f>
        <v>-1732.632443033782</v>
      </c>
      <c r="AE28" s="609">
        <f>'Data Input'!AF46*-1</f>
        <v>-1794.1547928826822</v>
      </c>
      <c r="AF28" s="620">
        <f>'Data Input'!AG46*-1</f>
        <v>-1857.8091145237856</v>
      </c>
    </row>
    <row r="29" spans="1:32" s="8" customFormat="1" x14ac:dyDescent="0.2">
      <c r="A29" s="8" t="s">
        <v>253</v>
      </c>
      <c r="B29" s="8" t="s">
        <v>31</v>
      </c>
      <c r="C29" s="50"/>
      <c r="D29" s="50"/>
      <c r="E29" s="50"/>
      <c r="F29" s="50"/>
      <c r="G29" s="21">
        <f>SUM(G25:G28)</f>
        <v>4758.4693749999988</v>
      </c>
      <c r="H29" s="21">
        <f t="shared" ref="H29:Q29" si="37">SUM(H25:H28)</f>
        <v>4568.6631249999991</v>
      </c>
      <c r="I29" s="21">
        <f t="shared" si="37"/>
        <v>4017.5006250000024</v>
      </c>
      <c r="J29" s="21">
        <f t="shared" si="37"/>
        <v>3129.7450000000017</v>
      </c>
      <c r="K29" s="21">
        <f t="shared" si="37"/>
        <v>2146.8162499999989</v>
      </c>
      <c r="L29" s="21">
        <f t="shared" si="37"/>
        <v>1321.9575000000016</v>
      </c>
      <c r="M29" s="21">
        <f t="shared" si="37"/>
        <v>282.03499999999781</v>
      </c>
      <c r="N29" s="21">
        <f t="shared" si="37"/>
        <v>2.4999999999996589</v>
      </c>
      <c r="O29" s="21">
        <f t="shared" si="37"/>
        <v>-791.24219599999958</v>
      </c>
      <c r="P29" s="21">
        <f t="shared" si="37"/>
        <v>0.5000000000017053</v>
      </c>
      <c r="Q29" s="140">
        <f t="shared" si="37"/>
        <v>1.3642420526593924E-12</v>
      </c>
      <c r="R29" s="140">
        <f t="shared" ref="R29:AA29" si="38">SUM(R25:R28)</f>
        <v>-4.7748471843078732E-12</v>
      </c>
      <c r="S29" s="140">
        <f t="shared" si="38"/>
        <v>0</v>
      </c>
      <c r="T29" s="140">
        <f t="shared" si="38"/>
        <v>4.3200998334214091E-12</v>
      </c>
      <c r="U29" s="140">
        <f t="shared" si="38"/>
        <v>-4026.6435886470613</v>
      </c>
      <c r="V29" s="140">
        <f t="shared" si="38"/>
        <v>-5005.3856840294102</v>
      </c>
      <c r="W29" s="140">
        <f t="shared" si="38"/>
        <v>-2555.532323285719</v>
      </c>
      <c r="X29" s="140">
        <f t="shared" si="38"/>
        <v>-941.44394778572178</v>
      </c>
      <c r="Y29" s="140">
        <f t="shared" si="38"/>
        <v>-2.2737367544323206E-12</v>
      </c>
      <c r="Z29" s="140">
        <f t="shared" si="38"/>
        <v>1.000000000001819</v>
      </c>
      <c r="AA29" s="140">
        <f t="shared" si="38"/>
        <v>-0.5000000000086402</v>
      </c>
      <c r="AB29" s="360">
        <f>SUM(AB25:AB28)</f>
        <v>-6.3664629124104977E-12</v>
      </c>
      <c r="AC29" s="610">
        <f t="shared" ref="AC29:AF29" si="39">SUM(AC25:AC28)</f>
        <v>1.2505552149377763E-11</v>
      </c>
      <c r="AD29" s="610">
        <f t="shared" si="39"/>
        <v>-7.9580786405131221E-12</v>
      </c>
      <c r="AE29" s="610">
        <f t="shared" si="39"/>
        <v>-5.2295945351943374E-12</v>
      </c>
      <c r="AF29" s="621">
        <f t="shared" si="39"/>
        <v>5.6843418860808015E-12</v>
      </c>
    </row>
    <row r="30" spans="1:32" s="9" customFormat="1" x14ac:dyDescent="0.2">
      <c r="A30" s="9" t="s">
        <v>217</v>
      </c>
      <c r="C30" s="596"/>
      <c r="D30" s="596"/>
      <c r="E30" s="596"/>
      <c r="F30" s="596"/>
      <c r="G30" s="9">
        <f>G19-G29</f>
        <v>0</v>
      </c>
      <c r="H30" s="9">
        <f t="shared" ref="H30:AB30" si="40">H19-H29</f>
        <v>0</v>
      </c>
      <c r="I30" s="9">
        <f t="shared" si="40"/>
        <v>0</v>
      </c>
      <c r="J30" s="9">
        <f t="shared" si="40"/>
        <v>0</v>
      </c>
      <c r="K30" s="9">
        <f t="shared" si="40"/>
        <v>0</v>
      </c>
      <c r="L30" s="9">
        <f t="shared" si="40"/>
        <v>-3.865352482534945E-12</v>
      </c>
      <c r="M30" s="9">
        <f t="shared" si="40"/>
        <v>2.2737367544323206E-12</v>
      </c>
      <c r="N30" s="9">
        <f t="shared" si="40"/>
        <v>-2.4999999999996589</v>
      </c>
      <c r="O30" s="9">
        <f t="shared" si="40"/>
        <v>0</v>
      </c>
      <c r="P30" s="9">
        <f t="shared" si="40"/>
        <v>-0.5000000000017053</v>
      </c>
      <c r="Q30" s="9">
        <f t="shared" si="40"/>
        <v>-1.3642420526593924E-12</v>
      </c>
      <c r="R30" s="9">
        <f t="shared" si="40"/>
        <v>4.7748471843078732E-12</v>
      </c>
      <c r="S30" s="9">
        <f t="shared" si="40"/>
        <v>0</v>
      </c>
      <c r="T30" s="9">
        <f t="shared" si="40"/>
        <v>-4.3200998334214091E-12</v>
      </c>
      <c r="U30" s="9">
        <f t="shared" si="40"/>
        <v>4.0927261579781771E-12</v>
      </c>
      <c r="V30" s="9">
        <f t="shared" si="40"/>
        <v>0</v>
      </c>
      <c r="W30" s="9">
        <f t="shared" si="40"/>
        <v>0</v>
      </c>
      <c r="X30" s="9">
        <f t="shared" si="40"/>
        <v>0.49999999999681677</v>
      </c>
      <c r="Y30" s="9">
        <f t="shared" si="40"/>
        <v>2.2737367544323206E-12</v>
      </c>
      <c r="Z30" s="9">
        <f t="shared" si="40"/>
        <v>-1.000000000001819</v>
      </c>
      <c r="AA30" s="9">
        <f t="shared" si="40"/>
        <v>0.5000000000086402</v>
      </c>
      <c r="AB30" s="343">
        <f t="shared" si="40"/>
        <v>6.3664629124104977E-12</v>
      </c>
      <c r="AC30" s="607">
        <f t="shared" ref="AC30" si="41">AC19-AC29</f>
        <v>-1.2505552149377763E-11</v>
      </c>
      <c r="AD30" s="607">
        <f t="shared" ref="AD30" si="42">AD19-AD29</f>
        <v>7.9580786405131221E-12</v>
      </c>
      <c r="AE30" s="607">
        <f t="shared" ref="AE30" si="43">AE19-AE29</f>
        <v>5.2295945351943374E-12</v>
      </c>
      <c r="AF30" s="618">
        <f t="shared" ref="AF30" si="44">AF19-AF29</f>
        <v>-5.6843418860808015E-12</v>
      </c>
    </row>
    <row r="31" spans="1:32" s="9" customFormat="1" x14ac:dyDescent="0.2">
      <c r="Q31" s="146"/>
      <c r="R31" s="146"/>
      <c r="S31" s="146"/>
      <c r="T31" s="146"/>
      <c r="U31" s="146"/>
      <c r="V31" s="146"/>
      <c r="W31" s="146"/>
      <c r="X31" s="146"/>
      <c r="Y31" s="146"/>
      <c r="Z31" s="146"/>
      <c r="AA31" s="146"/>
      <c r="AB31" s="343"/>
      <c r="AC31" s="607"/>
      <c r="AD31" s="607"/>
      <c r="AE31" s="607"/>
      <c r="AF31" s="618"/>
    </row>
    <row r="32" spans="1:32" s="3" customFormat="1" x14ac:dyDescent="0.2">
      <c r="A32" s="44" t="s">
        <v>194</v>
      </c>
      <c r="Q32" s="121"/>
      <c r="R32" s="121"/>
      <c r="S32" s="121"/>
      <c r="T32" s="121"/>
      <c r="U32" s="121"/>
      <c r="V32" s="121"/>
      <c r="W32" s="121"/>
      <c r="X32" s="121"/>
      <c r="Y32" s="121"/>
      <c r="Z32" s="121"/>
      <c r="AA32" s="121"/>
      <c r="AB32" s="344"/>
      <c r="AC32" s="566"/>
      <c r="AD32" s="566"/>
      <c r="AE32" s="566"/>
      <c r="AF32" s="613"/>
    </row>
    <row r="33" spans="1:32" s="3" customFormat="1" x14ac:dyDescent="0.2">
      <c r="Q33" s="121"/>
      <c r="R33" s="121"/>
      <c r="S33" s="121"/>
      <c r="T33" s="121"/>
      <c r="U33" s="121"/>
      <c r="V33" s="121"/>
      <c r="W33" s="121"/>
      <c r="X33" s="121"/>
      <c r="Y33" s="121"/>
      <c r="Z33" s="121"/>
      <c r="AA33" s="121"/>
      <c r="AB33" s="344"/>
      <c r="AC33" s="566"/>
      <c r="AD33" s="566"/>
      <c r="AE33" s="566"/>
      <c r="AF33" s="613"/>
    </row>
    <row r="34" spans="1:32" s="3" customFormat="1" x14ac:dyDescent="0.2">
      <c r="A34" s="3" t="s">
        <v>197</v>
      </c>
      <c r="B34" s="3" t="s">
        <v>201</v>
      </c>
      <c r="C34" s="3">
        <f>'Data Input'!D12</f>
        <v>24391</v>
      </c>
      <c r="D34" s="3">
        <f>'Data Input'!E12</f>
        <v>27479</v>
      </c>
      <c r="E34" s="3">
        <f>'Data Input'!F12</f>
        <v>30781</v>
      </c>
      <c r="F34" s="3">
        <f>'Data Input'!G12</f>
        <v>33998</v>
      </c>
      <c r="G34" s="3">
        <f>'Data Input'!H12</f>
        <v>36848</v>
      </c>
      <c r="H34" s="3">
        <f>'Data Input'!I12</f>
        <v>39007</v>
      </c>
      <c r="I34" s="3">
        <f>'Data Input'!J12</f>
        <v>41833</v>
      </c>
      <c r="J34" s="3">
        <f>'Data Input'!K12</f>
        <v>46470</v>
      </c>
      <c r="K34" s="3">
        <f>'Data Input'!L12</f>
        <v>48635</v>
      </c>
      <c r="L34" s="3">
        <f>'Data Input'!M12</f>
        <v>50346</v>
      </c>
      <c r="M34" s="3">
        <f>'Data Input'!N12</f>
        <v>55087</v>
      </c>
      <c r="N34" s="3">
        <f>'Data Input'!O12</f>
        <v>64369</v>
      </c>
      <c r="O34" s="3">
        <f>'Data Input'!P12</f>
        <v>67319</v>
      </c>
      <c r="P34" s="3">
        <f>'Data Input'!Q12</f>
        <v>71009</v>
      </c>
      <c r="Q34" s="121">
        <f>'Data Input'!R12</f>
        <v>74089</v>
      </c>
      <c r="R34" s="121">
        <f>'Data Input'!S12</f>
        <v>80371</v>
      </c>
      <c r="S34" s="121">
        <f>'Data Input'!T12</f>
        <v>83120</v>
      </c>
      <c r="T34" s="121">
        <f>'Data Input'!U12</f>
        <v>88356</v>
      </c>
      <c r="U34" s="121">
        <f>'Data Input'!V12</f>
        <v>92022</v>
      </c>
      <c r="V34" s="121">
        <f>'Data Input'!W12</f>
        <v>96608</v>
      </c>
      <c r="W34" s="121">
        <f>'Data Input'!X12</f>
        <v>99117</v>
      </c>
      <c r="X34" s="121">
        <f>'Data Input'!Y12</f>
        <v>103693</v>
      </c>
      <c r="Y34" s="121">
        <f>'Data Input'!Z12</f>
        <v>105954</v>
      </c>
      <c r="Z34" s="121">
        <f>'Data Input'!AA12</f>
        <v>109524</v>
      </c>
      <c r="AA34" s="121">
        <f>'Data Input'!AB12</f>
        <v>113801</v>
      </c>
      <c r="AB34" s="344">
        <f>'Data Input'!AC12</f>
        <v>116367</v>
      </c>
      <c r="AC34" s="566">
        <f>'Data Input'!AD12</f>
        <v>120891.15773981952</v>
      </c>
      <c r="AD34" s="566">
        <f>'Data Input'!AE12</f>
        <v>125674.54587496544</v>
      </c>
      <c r="AE34" s="566">
        <f>'Data Input'!AF12</f>
        <v>130724.77615093655</v>
      </c>
      <c r="AF34" s="613">
        <f>'Data Input'!AG12</f>
        <v>136066.48289917331</v>
      </c>
    </row>
    <row r="35" spans="1:32" s="3" customFormat="1" x14ac:dyDescent="0.2">
      <c r="A35" s="3" t="s">
        <v>206</v>
      </c>
      <c r="I35" s="3">
        <v>500</v>
      </c>
      <c r="Q35" s="121"/>
      <c r="R35" s="121"/>
      <c r="S35" s="121"/>
      <c r="T35" s="121"/>
      <c r="U35" s="121"/>
      <c r="V35" s="121"/>
      <c r="W35" s="121"/>
      <c r="X35" s="121"/>
      <c r="Y35" s="121"/>
      <c r="Z35" s="121"/>
      <c r="AA35" s="121"/>
      <c r="AB35" s="344"/>
      <c r="AC35" s="566"/>
      <c r="AD35" s="566"/>
      <c r="AE35" s="566"/>
      <c r="AF35" s="613"/>
    </row>
    <row r="36" spans="1:32" s="3" customFormat="1" x14ac:dyDescent="0.2">
      <c r="A36" s="3" t="s">
        <v>198</v>
      </c>
      <c r="B36" s="3" t="s">
        <v>201</v>
      </c>
      <c r="C36" s="6">
        <f>'Data Input'!D28*-1</f>
        <v>-20124</v>
      </c>
      <c r="D36" s="6">
        <f>'Data Input'!E28*-1</f>
        <v>-24697</v>
      </c>
      <c r="E36" s="6">
        <f>'Data Input'!F28*-1</f>
        <v>-27773</v>
      </c>
      <c r="F36" s="6">
        <f>'Data Input'!G28*-1</f>
        <v>-33711</v>
      </c>
      <c r="G36" s="6">
        <f>'Data Input'!H28*-1</f>
        <v>-34242</v>
      </c>
      <c r="H36" s="6">
        <f>'Data Input'!I28*-1</f>
        <v>-38092</v>
      </c>
      <c r="I36" s="6">
        <f>'Data Input'!J28*-1</f>
        <v>-43013</v>
      </c>
      <c r="J36" s="6">
        <f>'Data Input'!K28*-1</f>
        <v>-48901</v>
      </c>
      <c r="K36" s="6">
        <f>'Data Input'!L28*-1</f>
        <v>-54382</v>
      </c>
      <c r="L36" s="6">
        <f>'Data Input'!M28*-1</f>
        <v>-61039</v>
      </c>
      <c r="M36" s="6">
        <f>'Data Input'!N28*-1</f>
        <v>-68780</v>
      </c>
      <c r="N36" s="6">
        <f>'Data Input'!O28*-1</f>
        <v>-72429</v>
      </c>
      <c r="O36" s="6">
        <f>'Data Input'!P28*-1</f>
        <v>-75857</v>
      </c>
      <c r="P36" s="6">
        <f>'Data Input'!Q28*-1</f>
        <v>-79157</v>
      </c>
      <c r="Q36" s="125">
        <f>'Data Input'!R28*-1</f>
        <v>-82791</v>
      </c>
      <c r="R36" s="125">
        <f>'Data Input'!S28*-1</f>
        <v>-88694</v>
      </c>
      <c r="S36" s="125">
        <f>'Data Input'!T28*-1</f>
        <v>-94850</v>
      </c>
      <c r="T36" s="125">
        <f>'Data Input'!U28*-1</f>
        <v>-104917</v>
      </c>
      <c r="U36" s="125">
        <f>'Data Input'!V28*-1</f>
        <v>-106957</v>
      </c>
      <c r="V36" s="125">
        <f>'Data Input'!W28*-1</f>
        <v>-109112</v>
      </c>
      <c r="W36" s="125">
        <f>'Data Input'!X28*-1</f>
        <v>-114246</v>
      </c>
      <c r="X36" s="125">
        <f>'Data Input'!Y28*-1</f>
        <v>-115685</v>
      </c>
      <c r="Y36" s="125">
        <f>'Data Input'!Z28*-1</f>
        <v>-119864</v>
      </c>
      <c r="Z36" s="125">
        <f>'Data Input'!AA28*-1</f>
        <v>-130867</v>
      </c>
      <c r="AA36" s="125">
        <f>'Data Input'!AB28*-1</f>
        <v>-143076</v>
      </c>
      <c r="AB36" s="345">
        <f>'Data Input'!AC28*-1</f>
        <v>-156998</v>
      </c>
      <c r="AC36" s="611">
        <f>'Data Input'!AD28*-1</f>
        <v>-170805.87488462828</v>
      </c>
      <c r="AD36" s="611">
        <f>'Data Input'!AE28*-1</f>
        <v>-183733.14824921408</v>
      </c>
      <c r="AE36" s="611">
        <f>'Data Input'!AF28*-1</f>
        <v>-196139.25039928145</v>
      </c>
      <c r="AF36" s="622">
        <f>'Data Input'!AG28*-1</f>
        <v>-207697.4054389525</v>
      </c>
    </row>
    <row r="37" spans="1:32" s="8" customFormat="1" x14ac:dyDescent="0.2">
      <c r="A37" s="8" t="s">
        <v>202</v>
      </c>
      <c r="B37" s="8" t="s">
        <v>31</v>
      </c>
      <c r="C37" s="8">
        <f>SUM(C34:C36)</f>
        <v>4267</v>
      </c>
      <c r="D37" s="8">
        <f>SUM(D34:D36)</f>
        <v>2782</v>
      </c>
      <c r="E37" s="8">
        <f t="shared" ref="E37:Q37" si="45">SUM(E34:E36)</f>
        <v>3008</v>
      </c>
      <c r="F37" s="8">
        <f t="shared" si="45"/>
        <v>287</v>
      </c>
      <c r="G37" s="8">
        <f t="shared" si="45"/>
        <v>2606</v>
      </c>
      <c r="H37" s="8">
        <f t="shared" si="45"/>
        <v>915</v>
      </c>
      <c r="I37" s="8">
        <f t="shared" si="45"/>
        <v>-680</v>
      </c>
      <c r="J37" s="8">
        <f t="shared" si="45"/>
        <v>-2431</v>
      </c>
      <c r="K37" s="8">
        <f t="shared" si="45"/>
        <v>-5747</v>
      </c>
      <c r="L37" s="8">
        <f t="shared" si="45"/>
        <v>-10693</v>
      </c>
      <c r="M37" s="8">
        <f t="shared" si="45"/>
        <v>-13693</v>
      </c>
      <c r="N37" s="8">
        <f t="shared" si="45"/>
        <v>-8060</v>
      </c>
      <c r="O37" s="8">
        <f t="shared" si="45"/>
        <v>-8538</v>
      </c>
      <c r="P37" s="8">
        <f t="shared" si="45"/>
        <v>-8148</v>
      </c>
      <c r="Q37" s="119">
        <f t="shared" si="45"/>
        <v>-8702</v>
      </c>
      <c r="R37" s="119">
        <f t="shared" ref="R37:AD37" si="46">SUM(R34:R36)</f>
        <v>-8323</v>
      </c>
      <c r="S37" s="119">
        <f t="shared" si="46"/>
        <v>-11730</v>
      </c>
      <c r="T37" s="119">
        <f t="shared" si="46"/>
        <v>-16561</v>
      </c>
      <c r="U37" s="119">
        <f t="shared" si="46"/>
        <v>-14935</v>
      </c>
      <c r="V37" s="119">
        <f t="shared" si="46"/>
        <v>-12504</v>
      </c>
      <c r="W37" s="119">
        <f t="shared" si="46"/>
        <v>-15129</v>
      </c>
      <c r="X37" s="119">
        <f t="shared" si="46"/>
        <v>-11992</v>
      </c>
      <c r="Y37" s="119">
        <f t="shared" si="46"/>
        <v>-13910</v>
      </c>
      <c r="Z37" s="119">
        <f t="shared" si="46"/>
        <v>-21343</v>
      </c>
      <c r="AA37" s="119">
        <f t="shared" si="46"/>
        <v>-29275</v>
      </c>
      <c r="AB37" s="342">
        <f t="shared" si="46"/>
        <v>-40631</v>
      </c>
      <c r="AC37" s="319">
        <f t="shared" si="46"/>
        <v>-49914.717144808761</v>
      </c>
      <c r="AD37" s="319">
        <f t="shared" si="46"/>
        <v>-58058.602374248643</v>
      </c>
      <c r="AE37" s="319">
        <f t="shared" ref="AE37:AF37" si="47">SUM(AE34:AE36)</f>
        <v>-65414.474248344894</v>
      </c>
      <c r="AF37" s="329">
        <f t="shared" si="47"/>
        <v>-71630.922539779189</v>
      </c>
    </row>
    <row r="38" spans="1:32" s="3" customFormat="1" x14ac:dyDescent="0.2">
      <c r="A38" s="3" t="s">
        <v>196</v>
      </c>
      <c r="B38" s="3" t="s">
        <v>108</v>
      </c>
      <c r="C38" s="3">
        <f>'experience g(l)'!B95</f>
        <v>0</v>
      </c>
      <c r="D38" s="3">
        <f>'experience g(l)'!C95</f>
        <v>1443.4300000000003</v>
      </c>
      <c r="E38" s="3">
        <f>'experience g(l)'!D95</f>
        <v>686.42250000000058</v>
      </c>
      <c r="F38" s="3">
        <f>'experience g(l)'!E95</f>
        <v>3172.5162499999969</v>
      </c>
      <c r="G38" s="3">
        <f>'experience g(l)'!F95</f>
        <v>1493.3037499999955</v>
      </c>
      <c r="H38" s="3">
        <f>'experience g(l)'!G95</f>
        <v>3236.6912499999999</v>
      </c>
      <c r="I38" s="3">
        <f>'experience g(l)'!H95</f>
        <v>4504.3662500000028</v>
      </c>
      <c r="J38" s="3">
        <f>'experience g(l)'!I95</f>
        <v>5352.8549999999996</v>
      </c>
      <c r="K38" s="3">
        <f>'experience g(l)'!J95</f>
        <v>7454.9975000000013</v>
      </c>
      <c r="L38" s="3">
        <f>'experience g(l)'!K95</f>
        <v>10951.279999999995</v>
      </c>
      <c r="M38" s="3">
        <f>'experience g(l)'!L95</f>
        <v>12131.434999999994</v>
      </c>
      <c r="N38" s="3">
        <f>'experience g(l)'!M95</f>
        <v>5502.7149999999929</v>
      </c>
      <c r="O38" s="3">
        <f>'experience g(l)'!N95</f>
        <v>5291.434999999994</v>
      </c>
      <c r="P38" s="3">
        <f>'experience g(l)'!O95</f>
        <v>4224.2749999999905</v>
      </c>
      <c r="Q38" s="121">
        <f>'experience g(l)'!P95</f>
        <v>4055.0499999999847</v>
      </c>
      <c r="R38" s="121">
        <f>'experience g(l)'!Q95</f>
        <v>2985.5999999999876</v>
      </c>
      <c r="S38" s="121">
        <f>'experience g(l)'!R95</f>
        <v>5775.1499999999905</v>
      </c>
      <c r="T38" s="121">
        <f>'experience g(l)'!S95</f>
        <v>9120.8012499999859</v>
      </c>
      <c r="U38" s="121">
        <f>'experience g(l)'!T95</f>
        <v>5234.9762499999888</v>
      </c>
      <c r="V38" s="121">
        <f>'experience g(l)'!U95</f>
        <v>553.67999999998938</v>
      </c>
      <c r="W38" s="121">
        <f>'experience g(l)'!V95</f>
        <v>1544.9353534285583</v>
      </c>
      <c r="X38" s="121">
        <f>'experience g(l)'!W95</f>
        <v>-3295.8878955714499</v>
      </c>
      <c r="Y38" s="121">
        <f>'experience g(l)'!X95</f>
        <v>-2473.0586665491319</v>
      </c>
      <c r="Z38" s="121">
        <f>'experience g(l)'!Y95</f>
        <v>3702.3120704508583</v>
      </c>
      <c r="AA38" s="121">
        <f>'experience g(l)'!Z95</f>
        <v>9631.1466204508724</v>
      </c>
      <c r="AB38" s="344">
        <f>'experience g(l)'!AA95</f>
        <v>18002.558623450896</v>
      </c>
      <c r="AC38" s="566">
        <f>'experience g(l)'!AB95</f>
        <v>23017.298907988137</v>
      </c>
      <c r="AD38" s="566">
        <f>'experience g(l)'!AC95</f>
        <v>26027.794516604292</v>
      </c>
      <c r="AE38" s="566">
        <f>'experience g(l)'!AD95</f>
        <v>27548.756768374515</v>
      </c>
      <c r="AF38" s="613">
        <f>'experience g(l)'!AE95</f>
        <v>27321.493050398989</v>
      </c>
    </row>
    <row r="39" spans="1:32" s="3" customFormat="1" x14ac:dyDescent="0.2">
      <c r="A39" s="3" t="s">
        <v>199</v>
      </c>
      <c r="B39" s="3" t="s">
        <v>201</v>
      </c>
      <c r="C39" s="24" t="str">
        <f>'Data Input'!D29</f>
        <v>n/a</v>
      </c>
      <c r="D39" s="24" t="str">
        <f>'Data Input'!E29</f>
        <v>n/a</v>
      </c>
      <c r="E39" s="24" t="str">
        <f>'Data Input'!F29</f>
        <v>n/a</v>
      </c>
      <c r="F39" s="24" t="str">
        <f>'Data Input'!G29</f>
        <v>n/a</v>
      </c>
      <c r="G39" s="24">
        <f>'Data Input'!H29</f>
        <v>70</v>
      </c>
      <c r="H39" s="24">
        <f>'Data Input'!I29</f>
        <v>79</v>
      </c>
      <c r="I39" s="24">
        <f>'Data Input'!J29</f>
        <v>61</v>
      </c>
      <c r="J39" s="24">
        <f>'Data Input'!K29</f>
        <v>68</v>
      </c>
      <c r="K39" s="24">
        <f>'Data Input'!L29</f>
        <v>53</v>
      </c>
      <c r="L39" s="24">
        <f>'Data Input'!M29</f>
        <v>44</v>
      </c>
      <c r="M39" s="24">
        <f>'Data Input'!N29</f>
        <v>41</v>
      </c>
      <c r="N39" s="24">
        <f>'Data Input'!O29</f>
        <v>44</v>
      </c>
      <c r="O39" s="24">
        <f>'Data Input'!P29</f>
        <v>54</v>
      </c>
      <c r="P39" s="24">
        <f>'Data Input'!Q29</f>
        <v>43</v>
      </c>
      <c r="Q39" s="131">
        <f>'Data Input'!R29</f>
        <v>40</v>
      </c>
      <c r="R39" s="131">
        <f>'Data Input'!S29</f>
        <v>36</v>
      </c>
      <c r="S39" s="131">
        <f>'Data Input'!T29</f>
        <v>34</v>
      </c>
      <c r="T39" s="131">
        <f>'Data Input'!U29</f>
        <v>31</v>
      </c>
      <c r="U39" s="131">
        <f>'Data Input'!V29</f>
        <v>47</v>
      </c>
      <c r="V39" s="131">
        <f>'Data Input'!W29</f>
        <v>57.981786999999997</v>
      </c>
      <c r="W39" s="131">
        <f>'Data Input'!X29</f>
        <v>58.585501000000001</v>
      </c>
      <c r="X39" s="131">
        <f>'Data Input'!Y29</f>
        <v>39.720883999999998</v>
      </c>
      <c r="Y39" s="131">
        <f>'Data Input'!Z29</f>
        <v>39.268236999999999</v>
      </c>
      <c r="Z39" s="131">
        <f>'Data Input'!AA29</f>
        <v>37.903300000000002</v>
      </c>
      <c r="AA39" s="131">
        <f>'Data Input'!AB29</f>
        <v>36.734502999999997</v>
      </c>
      <c r="AB39" s="349">
        <f>'Data Input'!AC29</f>
        <v>38</v>
      </c>
      <c r="AC39" s="604">
        <f>'Data Input'!AD29</f>
        <v>43.364365411764709</v>
      </c>
      <c r="AD39" s="604">
        <f>'Data Input'!AE29</f>
        <v>43.364365411764709</v>
      </c>
      <c r="AE39" s="604">
        <f>'Data Input'!AF29</f>
        <v>43.364365411764709</v>
      </c>
      <c r="AF39" s="615">
        <f>'Data Input'!AG29</f>
        <v>43.364365411764709</v>
      </c>
    </row>
    <row r="40" spans="1:32" s="8" customFormat="1" x14ac:dyDescent="0.2">
      <c r="A40" s="8" t="s">
        <v>200</v>
      </c>
      <c r="B40" s="8" t="s">
        <v>31</v>
      </c>
      <c r="C40" s="8">
        <f>SUM(C37:C39)</f>
        <v>4267</v>
      </c>
      <c r="D40" s="8">
        <f>SUM(D37:D39)</f>
        <v>4225.43</v>
      </c>
      <c r="E40" s="8">
        <f t="shared" ref="E40:Q40" si="48">SUM(E37:E39)</f>
        <v>3694.4225000000006</v>
      </c>
      <c r="F40" s="8">
        <f t="shared" si="48"/>
        <v>3459.5162499999969</v>
      </c>
      <c r="G40" s="8">
        <f t="shared" si="48"/>
        <v>4169.3037499999955</v>
      </c>
      <c r="H40" s="8">
        <f t="shared" si="48"/>
        <v>4230.6912499999999</v>
      </c>
      <c r="I40" s="8">
        <f t="shared" si="48"/>
        <v>3885.3662500000028</v>
      </c>
      <c r="J40" s="8">
        <f t="shared" si="48"/>
        <v>2989.8549999999996</v>
      </c>
      <c r="K40" s="8">
        <f t="shared" si="48"/>
        <v>1760.9975000000013</v>
      </c>
      <c r="L40" s="8">
        <f t="shared" si="48"/>
        <v>302.2799999999952</v>
      </c>
      <c r="M40" s="8">
        <f t="shared" si="48"/>
        <v>-1520.565000000006</v>
      </c>
      <c r="N40" s="8">
        <f t="shared" si="48"/>
        <v>-2513.2850000000071</v>
      </c>
      <c r="O40" s="8">
        <f t="shared" si="48"/>
        <v>-3192.565000000006</v>
      </c>
      <c r="P40" s="8">
        <f t="shared" si="48"/>
        <v>-3880.7250000000095</v>
      </c>
      <c r="Q40" s="119">
        <f t="shared" si="48"/>
        <v>-4606.9500000000153</v>
      </c>
      <c r="R40" s="119">
        <f t="shared" ref="R40:AD40" si="49">SUM(R37:R39)</f>
        <v>-5301.4000000000124</v>
      </c>
      <c r="S40" s="119">
        <f t="shared" si="49"/>
        <v>-5920.8500000000095</v>
      </c>
      <c r="T40" s="119">
        <f t="shared" si="49"/>
        <v>-7409.1987500000141</v>
      </c>
      <c r="U40" s="119">
        <f t="shared" si="49"/>
        <v>-9653.0237500000112</v>
      </c>
      <c r="V40" s="119">
        <f t="shared" si="49"/>
        <v>-11892.33821300001</v>
      </c>
      <c r="W40" s="119">
        <f t="shared" si="49"/>
        <v>-13525.479145571442</v>
      </c>
      <c r="X40" s="119">
        <f t="shared" si="49"/>
        <v>-15248.16701157145</v>
      </c>
      <c r="Y40" s="119">
        <f t="shared" si="49"/>
        <v>-16343.790429549132</v>
      </c>
      <c r="Z40" s="119">
        <f t="shared" si="49"/>
        <v>-17602.78462954914</v>
      </c>
      <c r="AA40" s="119">
        <f t="shared" si="49"/>
        <v>-19607.118876549128</v>
      </c>
      <c r="AB40" s="342">
        <f t="shared" si="49"/>
        <v>-22590.441376549104</v>
      </c>
      <c r="AC40" s="319">
        <f t="shared" si="49"/>
        <v>-26854.053871408858</v>
      </c>
      <c r="AD40" s="319">
        <f t="shared" si="49"/>
        <v>-31987.443492232585</v>
      </c>
      <c r="AE40" s="319">
        <f t="shared" ref="AE40:AF40" si="50">SUM(AE37:AE39)</f>
        <v>-37822.353114558617</v>
      </c>
      <c r="AF40" s="329">
        <f t="shared" si="50"/>
        <v>-44266.065123968438</v>
      </c>
    </row>
    <row r="41" spans="1:32" s="119" customFormat="1" x14ac:dyDescent="0.2">
      <c r="A41" s="598" t="s">
        <v>403</v>
      </c>
      <c r="B41" s="146" t="s">
        <v>404</v>
      </c>
      <c r="U41" s="146">
        <f>-'CPI Special Payments'!C13</f>
        <v>0</v>
      </c>
      <c r="V41" s="146">
        <f>-'CPI Special Payments'!D13</f>
        <v>0</v>
      </c>
      <c r="W41" s="146">
        <f>-'CPI Special Payments'!E13</f>
        <v>0</v>
      </c>
      <c r="X41" s="146">
        <f>-'CPI Special Payments'!F13</f>
        <v>0</v>
      </c>
      <c r="Y41" s="146">
        <f>-'CPI Special Payments'!G13</f>
        <v>0</v>
      </c>
      <c r="Z41" s="146">
        <f>-'CPI Special Payments'!H13</f>
        <v>-1</v>
      </c>
      <c r="AA41" s="146">
        <f>-'CPI Special Payments'!I13</f>
        <v>-2</v>
      </c>
      <c r="AB41" s="343">
        <f>-'CPI Special Payments'!J13</f>
        <v>-3</v>
      </c>
      <c r="AC41" s="607">
        <f>-'CPI Special Payments'!K13</f>
        <v>-3</v>
      </c>
      <c r="AD41" s="607">
        <f>-'CPI Special Payments'!L13</f>
        <v>-3</v>
      </c>
      <c r="AE41" s="607">
        <f>-'CPI Special Payments'!M13</f>
        <v>-3</v>
      </c>
      <c r="AF41" s="618">
        <f>-'CPI Special Payments'!N13</f>
        <v>-3</v>
      </c>
    </row>
    <row r="42" spans="1:32" s="3" customFormat="1" x14ac:dyDescent="0.2">
      <c r="A42" s="3" t="s">
        <v>203</v>
      </c>
      <c r="B42" s="3" t="s">
        <v>204</v>
      </c>
      <c r="C42" s="6">
        <f>'year end'!C22</f>
        <v>893</v>
      </c>
      <c r="D42" s="6">
        <f>'year end'!D22</f>
        <v>944.63500000000022</v>
      </c>
      <c r="E42" s="6">
        <f>'year end'!E22</f>
        <v>1180.6350000000002</v>
      </c>
      <c r="F42" s="6">
        <f>'year end'!F22</f>
        <v>1442.6350000000002</v>
      </c>
      <c r="G42" s="6">
        <f>'year end'!G22</f>
        <v>809.63500000000386</v>
      </c>
      <c r="H42" s="6">
        <f>'year end'!H22</f>
        <v>802.63500000000568</v>
      </c>
      <c r="I42" s="6">
        <f>'year end'!I22</f>
        <v>702.63500000000113</v>
      </c>
      <c r="J42" s="6">
        <f>'year end'!J22</f>
        <v>676.63499999999885</v>
      </c>
      <c r="K42" s="6">
        <f>'year end'!K22</f>
        <v>703.63500000000204</v>
      </c>
      <c r="L42" s="6">
        <f>'year end'!L22</f>
        <v>820.63500000000022</v>
      </c>
      <c r="M42" s="6">
        <f>'year end'!M22</f>
        <v>842.63500000000613</v>
      </c>
      <c r="N42" s="6">
        <f>'year end'!N22</f>
        <v>871.60063000000764</v>
      </c>
      <c r="O42" s="6">
        <f>'year end'!O22</f>
        <v>898.3578040000084</v>
      </c>
      <c r="P42" s="6">
        <f>'year end'!P22</f>
        <v>944.41462900000761</v>
      </c>
      <c r="Q42" s="125">
        <f>'year end'!Q22</f>
        <v>994.27099500001032</v>
      </c>
      <c r="R42" s="125">
        <f>'year end'!R22</f>
        <v>1045.061462000016</v>
      </c>
      <c r="S42" s="125">
        <f>'year end'!S22+'year end'!S30</f>
        <v>1058.9151612353066</v>
      </c>
      <c r="T42" s="125">
        <f>'year end'!T22+'year end'!T30</f>
        <v>1299.6710804705981</v>
      </c>
      <c r="U42" s="125">
        <f>'year end'!U22+'year end'!U30</f>
        <v>1374.6416687058968</v>
      </c>
      <c r="V42" s="125">
        <f>'year end'!V22+'year end'!V30</f>
        <v>1527.0420989411869</v>
      </c>
      <c r="W42" s="125">
        <f>'year end'!W22+'year end'!W30</f>
        <v>1547.75082117648</v>
      </c>
      <c r="X42" s="125">
        <f>'year end'!X22+'year end'!X30</f>
        <v>1598.9084524117759</v>
      </c>
      <c r="Y42" s="125">
        <f>'year end'!Y22+'year end'!Y30</f>
        <v>1651.8220746470772</v>
      </c>
      <c r="Z42" s="125">
        <f>'year end'!Z22+'year end'!Z30</f>
        <v>1706.0367138823765</v>
      </c>
      <c r="AA42" s="125">
        <f>'year end'!AA22+'year end'!AA30</f>
        <v>1763.2066311176752</v>
      </c>
      <c r="AB42" s="345">
        <f>'year end'!AB22+'year end'!AB30</f>
        <v>1790.9391320529583</v>
      </c>
      <c r="AC42" s="611">
        <f>'year end'!AC22+'year end'!AC30</f>
        <v>1820.7574389885024</v>
      </c>
      <c r="AD42" s="611">
        <f>'year end'!AD22+'year end'!AD30</f>
        <v>1849.2805809113286</v>
      </c>
      <c r="AE42" s="611">
        <f>'year end'!AE22+'year end'!AE30</f>
        <v>1876.6397422092759</v>
      </c>
      <c r="AF42" s="622">
        <f>'year end'!AF22+'year end'!AF30</f>
        <v>1902.7945867465592</v>
      </c>
    </row>
    <row r="43" spans="1:32" s="3" customFormat="1" ht="13.5" thickBot="1" x14ac:dyDescent="0.25">
      <c r="A43" s="8" t="s">
        <v>205</v>
      </c>
      <c r="B43" s="8" t="s">
        <v>31</v>
      </c>
      <c r="C43" s="51">
        <f>SUM(C40:C42)</f>
        <v>5160</v>
      </c>
      <c r="D43" s="51">
        <f>SUM(D40:D42)</f>
        <v>5170.0650000000005</v>
      </c>
      <c r="E43" s="51">
        <f t="shared" ref="E43:Q43" si="51">SUM(E40:E42)</f>
        <v>4875.0575000000008</v>
      </c>
      <c r="F43" s="51">
        <f t="shared" si="51"/>
        <v>4902.1512499999972</v>
      </c>
      <c r="G43" s="51">
        <f t="shared" si="51"/>
        <v>4978.9387499999993</v>
      </c>
      <c r="H43" s="51">
        <f t="shared" si="51"/>
        <v>5033.3262500000055</v>
      </c>
      <c r="I43" s="51">
        <f t="shared" si="51"/>
        <v>4588.0012500000039</v>
      </c>
      <c r="J43" s="51">
        <f t="shared" si="51"/>
        <v>3666.4899999999984</v>
      </c>
      <c r="K43" s="51">
        <f t="shared" si="51"/>
        <v>2464.6325000000033</v>
      </c>
      <c r="L43" s="51">
        <f t="shared" si="51"/>
        <v>1122.9149999999954</v>
      </c>
      <c r="M43" s="51">
        <f t="shared" si="51"/>
        <v>-677.92999999999984</v>
      </c>
      <c r="N43" s="51">
        <f t="shared" si="51"/>
        <v>-1641.6843699999995</v>
      </c>
      <c r="O43" s="51">
        <f t="shared" si="51"/>
        <v>-2294.2071959999976</v>
      </c>
      <c r="P43" s="51">
        <f t="shared" si="51"/>
        <v>-2936.3103710000019</v>
      </c>
      <c r="Q43" s="148">
        <f t="shared" si="51"/>
        <v>-3612.679005000005</v>
      </c>
      <c r="R43" s="148">
        <f t="shared" ref="R43:AD43" si="52">SUM(R40:R42)</f>
        <v>-4256.3385379999963</v>
      </c>
      <c r="S43" s="148">
        <f t="shared" si="52"/>
        <v>-4861.9348387647024</v>
      </c>
      <c r="T43" s="148">
        <f t="shared" si="52"/>
        <v>-6109.527669529416</v>
      </c>
      <c r="U43" s="148">
        <f t="shared" si="52"/>
        <v>-8278.382081294114</v>
      </c>
      <c r="V43" s="148">
        <f t="shared" si="52"/>
        <v>-10365.296114058823</v>
      </c>
      <c r="W43" s="148">
        <f t="shared" si="52"/>
        <v>-11977.728324394962</v>
      </c>
      <c r="X43" s="148">
        <f>SUM(X40:X42)</f>
        <v>-13649.258559159674</v>
      </c>
      <c r="Y43" s="148">
        <f t="shared" si="52"/>
        <v>-14691.968354902054</v>
      </c>
      <c r="Z43" s="148">
        <f t="shared" si="52"/>
        <v>-15897.747915666763</v>
      </c>
      <c r="AA43" s="148">
        <f t="shared" si="52"/>
        <v>-17845.912245431453</v>
      </c>
      <c r="AB43" s="376">
        <f t="shared" si="52"/>
        <v>-20802.502244496147</v>
      </c>
      <c r="AC43" s="612">
        <f t="shared" si="52"/>
        <v>-25036.296432420357</v>
      </c>
      <c r="AD43" s="612">
        <f t="shared" si="52"/>
        <v>-30141.162911321258</v>
      </c>
      <c r="AE43" s="612">
        <f t="shared" ref="AE43:AF43" si="53">SUM(AE40:AE42)</f>
        <v>-35948.713372349339</v>
      </c>
      <c r="AF43" s="623">
        <f t="shared" si="53"/>
        <v>-42366.270537221877</v>
      </c>
    </row>
    <row r="44" spans="1:32" s="3" customFormat="1" ht="13.5" thickTop="1" x14ac:dyDescent="0.2">
      <c r="Q44" s="121"/>
      <c r="R44" s="121"/>
      <c r="S44" s="121"/>
      <c r="T44" s="121"/>
      <c r="U44" s="121"/>
      <c r="V44" s="121"/>
      <c r="W44" s="121"/>
      <c r="X44" s="121"/>
      <c r="Y44" s="121"/>
      <c r="Z44" s="121"/>
      <c r="AA44" s="121"/>
      <c r="AB44" s="344"/>
      <c r="AC44" s="566"/>
      <c r="AD44" s="566"/>
      <c r="AE44" s="566"/>
      <c r="AF44" s="613"/>
    </row>
    <row r="45" spans="1:32" s="3" customFormat="1" x14ac:dyDescent="0.2">
      <c r="Q45" s="121"/>
      <c r="R45" s="121"/>
      <c r="S45" s="121"/>
      <c r="T45" s="121"/>
      <c r="U45" s="121"/>
      <c r="V45" s="121"/>
      <c r="W45" s="121"/>
      <c r="X45" s="121"/>
      <c r="Y45" s="121"/>
      <c r="Z45" s="121"/>
      <c r="AA45" s="121"/>
      <c r="AB45" s="344"/>
      <c r="AC45" s="566"/>
      <c r="AD45" s="566"/>
      <c r="AE45" s="566"/>
      <c r="AF45" s="613"/>
    </row>
  </sheetData>
  <phoneticPr fontId="0" type="noConversion"/>
  <pageMargins left="0.51181102362204722" right="0.51181102362204722" top="0.98425196850393704" bottom="0.98425196850393704" header="0.51181102362204722" footer="0.51181102362204722"/>
  <pageSetup paperSize="3" scale="54" orientation="landscape" r:id="rId1"/>
  <headerFooter alignWithMargins="0">
    <oddFooter>&amp;L&amp;"Arial,Bold"&amp;F&amp;C&amp;A
&amp;R&amp;D  &amp;T</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Z39"/>
  <sheetViews>
    <sheetView workbookViewId="0">
      <pane xSplit="1" ySplit="4" topLeftCell="B5" activePane="bottomRight" state="frozen"/>
      <selection activeCell="D43" sqref="D43"/>
      <selection pane="topRight" activeCell="D43" sqref="D43"/>
      <selection pane="bottomLeft" activeCell="D43" sqref="D43"/>
      <selection pane="bottomRight" activeCell="J20" sqref="J20"/>
    </sheetView>
  </sheetViews>
  <sheetFormatPr baseColWidth="10" defaultColWidth="9.140625" defaultRowHeight="12.75" x14ac:dyDescent="0.2"/>
  <cols>
    <col min="1" max="1" width="15.85546875" style="440" customWidth="1"/>
    <col min="2" max="2" width="11.140625" style="418" customWidth="1"/>
    <col min="3" max="5" width="9.140625" style="418"/>
    <col min="6" max="16" width="9.140625" style="417"/>
    <col min="17" max="17" width="9.140625" style="416"/>
    <col min="18" max="16384" width="9.140625" style="417"/>
  </cols>
  <sheetData>
    <row r="1" spans="1:25" x14ac:dyDescent="0.2">
      <c r="A1" s="413" t="s">
        <v>424</v>
      </c>
      <c r="R1" s="416"/>
      <c r="S1" s="414"/>
      <c r="T1" s="549"/>
    </row>
    <row r="2" spans="1:25" x14ac:dyDescent="0.2">
      <c r="R2" s="416"/>
      <c r="S2" s="414"/>
      <c r="T2" s="549"/>
    </row>
    <row r="3" spans="1:25" s="428" customFormat="1" x14ac:dyDescent="0.2">
      <c r="A3" s="436" t="s">
        <v>425</v>
      </c>
      <c r="B3" s="432" t="s">
        <v>426</v>
      </c>
      <c r="C3" s="432"/>
      <c r="D3" s="432"/>
      <c r="E3" s="432"/>
      <c r="Q3" s="424"/>
      <c r="R3" s="424"/>
      <c r="S3" s="420"/>
      <c r="T3" s="550"/>
    </row>
    <row r="4" spans="1:25" s="436" customFormat="1" x14ac:dyDescent="0.2">
      <c r="A4" s="442" t="s">
        <v>427</v>
      </c>
      <c r="B4" s="439" t="s">
        <v>428</v>
      </c>
      <c r="C4" s="435">
        <v>1998</v>
      </c>
      <c r="D4" s="435">
        <v>1999</v>
      </c>
      <c r="E4" s="435">
        <v>2000</v>
      </c>
      <c r="F4" s="442">
        <v>2001</v>
      </c>
      <c r="G4" s="442">
        <v>2002</v>
      </c>
      <c r="H4" s="442">
        <v>2003</v>
      </c>
      <c r="I4" s="442">
        <v>2004</v>
      </c>
      <c r="J4" s="442">
        <v>2005</v>
      </c>
      <c r="K4" s="442">
        <v>2006</v>
      </c>
      <c r="L4" s="442">
        <v>2007</v>
      </c>
      <c r="M4" s="442">
        <v>2008</v>
      </c>
      <c r="N4" s="442">
        <v>2009</v>
      </c>
      <c r="O4" s="442">
        <v>2010</v>
      </c>
      <c r="P4" s="442">
        <v>2011</v>
      </c>
      <c r="Q4" s="431">
        <v>2012</v>
      </c>
      <c r="R4" s="431">
        <v>2013</v>
      </c>
      <c r="S4" s="427">
        <v>2014</v>
      </c>
      <c r="T4" s="551">
        <v>2015</v>
      </c>
      <c r="U4" s="423">
        <v>2016</v>
      </c>
      <c r="V4" s="442">
        <v>2017</v>
      </c>
      <c r="W4" s="442">
        <v>2018</v>
      </c>
      <c r="X4" s="442">
        <v>2019</v>
      </c>
      <c r="Y4" s="442" t="s">
        <v>414</v>
      </c>
    </row>
    <row r="5" spans="1:25" x14ac:dyDescent="0.2">
      <c r="R5" s="416"/>
      <c r="S5" s="414"/>
      <c r="T5" s="549"/>
    </row>
    <row r="6" spans="1:25" x14ac:dyDescent="0.2">
      <c r="A6" s="440">
        <v>1998</v>
      </c>
      <c r="B6" s="418">
        <v>1290</v>
      </c>
      <c r="C6" s="418">
        <f>ROUND($B6/5,0)</f>
        <v>258</v>
      </c>
      <c r="D6" s="418">
        <f>ROUND($B6/5,0)</f>
        <v>258</v>
      </c>
      <c r="E6" s="418">
        <f>ROUND($B6/5,0)</f>
        <v>258</v>
      </c>
      <c r="F6" s="418">
        <f>ROUND($B6/5,0)</f>
        <v>258</v>
      </c>
      <c r="G6" s="418">
        <f>ROUND($B6/5,0)</f>
        <v>258</v>
      </c>
      <c r="R6" s="416"/>
      <c r="S6" s="414"/>
      <c r="T6" s="549"/>
      <c r="Y6" s="417">
        <f t="shared" ref="Y6:Y14" si="0">SUM(C6:R6)</f>
        <v>1290</v>
      </c>
    </row>
    <row r="7" spans="1:25" x14ac:dyDescent="0.2">
      <c r="A7" s="440">
        <v>1999</v>
      </c>
      <c r="B7" s="418">
        <v>6710</v>
      </c>
      <c r="D7" s="418">
        <f>ROUND($B7/5,0)</f>
        <v>1342</v>
      </c>
      <c r="E7" s="418">
        <f>ROUND($B7/5,0)</f>
        <v>1342</v>
      </c>
      <c r="F7" s="418">
        <f>ROUND($B7/5,0)</f>
        <v>1342</v>
      </c>
      <c r="G7" s="418">
        <f>ROUND($B7/5,0)</f>
        <v>1342</v>
      </c>
      <c r="H7" s="418">
        <f>ROUND($B7/5,0)</f>
        <v>1342</v>
      </c>
      <c r="R7" s="416"/>
      <c r="S7" s="414"/>
      <c r="T7" s="549"/>
      <c r="Y7" s="417">
        <f t="shared" si="0"/>
        <v>6710</v>
      </c>
    </row>
    <row r="8" spans="1:25" x14ac:dyDescent="0.2">
      <c r="A8" s="440">
        <v>2000</v>
      </c>
      <c r="B8" s="418">
        <f>-1117</f>
        <v>-1117</v>
      </c>
      <c r="E8" s="418">
        <f>ROUND($B8/5,0)</f>
        <v>-223</v>
      </c>
      <c r="F8" s="418">
        <f>ROUND($B8/5,0)</f>
        <v>-223</v>
      </c>
      <c r="G8" s="418">
        <f>ROUND($B8/5,0)</f>
        <v>-223</v>
      </c>
      <c r="H8" s="418">
        <f>ROUND($B8/5,0)-1</f>
        <v>-224</v>
      </c>
      <c r="I8" s="418">
        <f>ROUND($B8/5,0)-1</f>
        <v>-224</v>
      </c>
      <c r="R8" s="416"/>
      <c r="S8" s="414"/>
      <c r="T8" s="549"/>
      <c r="Y8" s="417">
        <f t="shared" si="0"/>
        <v>-1117</v>
      </c>
    </row>
    <row r="9" spans="1:25" x14ac:dyDescent="0.2">
      <c r="A9" s="440">
        <v>2001</v>
      </c>
      <c r="B9" s="418">
        <v>-6555</v>
      </c>
      <c r="F9" s="418">
        <f>ROUND($B9/5,0)</f>
        <v>-1311</v>
      </c>
      <c r="G9" s="418">
        <f>ROUND($B9/5,0)</f>
        <v>-1311</v>
      </c>
      <c r="H9" s="418">
        <f>ROUND($B9/5,0)</f>
        <v>-1311</v>
      </c>
      <c r="I9" s="418">
        <f>ROUND($B9/5,0)</f>
        <v>-1311</v>
      </c>
      <c r="J9" s="418">
        <f>ROUND($B9/5,0)</f>
        <v>-1311</v>
      </c>
      <c r="R9" s="416"/>
      <c r="S9" s="414"/>
      <c r="T9" s="549"/>
      <c r="Y9" s="417">
        <f t="shared" si="0"/>
        <v>-6555</v>
      </c>
    </row>
    <row r="10" spans="1:25" x14ac:dyDescent="0.2">
      <c r="A10" s="440">
        <v>2002</v>
      </c>
      <c r="B10" s="418">
        <v>-8256</v>
      </c>
      <c r="G10" s="418">
        <f>ROUND($B10/5,0)</f>
        <v>-1651</v>
      </c>
      <c r="H10" s="418">
        <f>ROUND($B10/5,0)</f>
        <v>-1651</v>
      </c>
      <c r="I10" s="418">
        <f>ROUND($B10/5,0)</f>
        <v>-1651</v>
      </c>
      <c r="J10" s="418">
        <f>ROUND($B10/5,0)</f>
        <v>-1651</v>
      </c>
      <c r="K10" s="418">
        <f>ROUND($B10/5,0)-1</f>
        <v>-1652</v>
      </c>
      <c r="R10" s="416"/>
      <c r="S10" s="414"/>
      <c r="T10" s="549"/>
      <c r="Y10" s="417">
        <f t="shared" si="0"/>
        <v>-8256</v>
      </c>
    </row>
    <row r="11" spans="1:25" x14ac:dyDescent="0.2">
      <c r="A11" s="440">
        <v>2003</v>
      </c>
      <c r="B11" s="418">
        <v>5400</v>
      </c>
      <c r="H11" s="418">
        <f>ROUND($B11/5,0)</f>
        <v>1080</v>
      </c>
      <c r="I11" s="418">
        <f>ROUND($B11/5,0)</f>
        <v>1080</v>
      </c>
      <c r="J11" s="418">
        <f>ROUND($B11/5,0)</f>
        <v>1080</v>
      </c>
      <c r="K11" s="418">
        <f>ROUND($B11/5,0)</f>
        <v>1080</v>
      </c>
      <c r="L11" s="418">
        <f>ROUND($B11/5,0)</f>
        <v>1080</v>
      </c>
      <c r="R11" s="416"/>
      <c r="S11" s="414"/>
      <c r="T11" s="549"/>
      <c r="Y11" s="417">
        <f t="shared" si="0"/>
        <v>5400</v>
      </c>
    </row>
    <row r="12" spans="1:25" x14ac:dyDescent="0.2">
      <c r="A12" s="440">
        <v>2004</v>
      </c>
      <c r="B12" s="418">
        <f>727*5+1</f>
        <v>3636</v>
      </c>
      <c r="I12" s="418">
        <f>ROUND($B12/5,0)</f>
        <v>727</v>
      </c>
      <c r="J12" s="418">
        <f>ROUND($B12/5,0)</f>
        <v>727</v>
      </c>
      <c r="K12" s="418">
        <f>ROUND($B12/5,0)+1</f>
        <v>728</v>
      </c>
      <c r="L12" s="418">
        <f t="shared" ref="L12:M15" si="1">ROUND($B12/5,0)</f>
        <v>727</v>
      </c>
      <c r="M12" s="418">
        <f t="shared" si="1"/>
        <v>727</v>
      </c>
      <c r="N12" s="418"/>
      <c r="O12" s="418"/>
      <c r="P12" s="418"/>
      <c r="Q12" s="438"/>
      <c r="R12" s="416"/>
      <c r="S12" s="414"/>
      <c r="T12" s="549"/>
      <c r="Y12" s="417">
        <f t="shared" si="0"/>
        <v>3636</v>
      </c>
    </row>
    <row r="13" spans="1:25" x14ac:dyDescent="0.2">
      <c r="A13" s="440">
        <v>2005</v>
      </c>
      <c r="B13" s="418">
        <v>5929</v>
      </c>
      <c r="J13" s="418">
        <f>ROUND($B13/5,0)-1</f>
        <v>1185</v>
      </c>
      <c r="K13" s="418">
        <f>ROUND($B13/5,0)</f>
        <v>1186</v>
      </c>
      <c r="L13" s="418">
        <f t="shared" si="1"/>
        <v>1186</v>
      </c>
      <c r="M13" s="418">
        <f t="shared" si="1"/>
        <v>1186</v>
      </c>
      <c r="N13" s="418">
        <f>ROUND($B13/5,0)</f>
        <v>1186</v>
      </c>
      <c r="O13" s="418"/>
      <c r="P13" s="418"/>
      <c r="Q13" s="438"/>
      <c r="R13" s="416"/>
      <c r="S13" s="414"/>
      <c r="T13" s="549"/>
      <c r="Y13" s="417">
        <f t="shared" si="0"/>
        <v>5929</v>
      </c>
    </row>
    <row r="14" spans="1:25" x14ac:dyDescent="0.2">
      <c r="A14" s="440">
        <v>2006</v>
      </c>
      <c r="B14" s="418">
        <f>5072+1268</f>
        <v>6340</v>
      </c>
      <c r="K14" s="418">
        <f>ROUND($B14/5,0)</f>
        <v>1268</v>
      </c>
      <c r="L14" s="418">
        <f t="shared" si="1"/>
        <v>1268</v>
      </c>
      <c r="M14" s="418">
        <f t="shared" si="1"/>
        <v>1268</v>
      </c>
      <c r="N14" s="418">
        <f>ROUND($B14/5,0)</f>
        <v>1268</v>
      </c>
      <c r="O14" s="418">
        <f>ROUND($B14/5,0)</f>
        <v>1268</v>
      </c>
      <c r="P14" s="434"/>
      <c r="Q14" s="438"/>
      <c r="R14" s="416"/>
      <c r="S14" s="414"/>
      <c r="T14" s="549"/>
      <c r="Y14" s="417">
        <f t="shared" si="0"/>
        <v>6340</v>
      </c>
    </row>
    <row r="15" spans="1:25" x14ac:dyDescent="0.2">
      <c r="A15" s="440">
        <v>2007</v>
      </c>
      <c r="B15" s="418">
        <f>-3274-818</f>
        <v>-4092</v>
      </c>
      <c r="L15" s="418">
        <f t="shared" si="1"/>
        <v>-818</v>
      </c>
      <c r="M15" s="418">
        <f t="shared" si="1"/>
        <v>-818</v>
      </c>
      <c r="N15" s="418">
        <f>ROUND($B15/5,0)</f>
        <v>-818</v>
      </c>
      <c r="O15" s="418">
        <f>ROUND($B15/5,0)-1</f>
        <v>-819</v>
      </c>
      <c r="P15" s="434">
        <f>ROUND($B15/5,0)-1</f>
        <v>-819</v>
      </c>
      <c r="Q15" s="438"/>
      <c r="R15" s="416"/>
      <c r="S15" s="414"/>
      <c r="T15" s="549"/>
      <c r="Y15" s="417">
        <f>SUM(C15:R15)</f>
        <v>-4092</v>
      </c>
    </row>
    <row r="16" spans="1:25" s="416" customFormat="1" x14ac:dyDescent="0.2">
      <c r="A16" s="430">
        <v>2008</v>
      </c>
      <c r="B16" s="426">
        <f>-20790-5198</f>
        <v>-25988</v>
      </c>
      <c r="C16" s="438"/>
      <c r="D16" s="438"/>
      <c r="E16" s="438"/>
      <c r="L16" s="438"/>
      <c r="M16" s="438">
        <f>ROUND($B16/5,0)</f>
        <v>-5198</v>
      </c>
      <c r="N16" s="438">
        <f>ROUND($B16/5,0)</f>
        <v>-5198</v>
      </c>
      <c r="O16" s="438">
        <f>ROUND($B16/5,0)</f>
        <v>-5198</v>
      </c>
      <c r="P16" s="426">
        <f>ROUND($B16/5,0)</f>
        <v>-5198</v>
      </c>
      <c r="Q16" s="438">
        <f>ROUND($B16/5,0)+1</f>
        <v>-5197</v>
      </c>
      <c r="S16" s="414"/>
      <c r="T16" s="549"/>
      <c r="Y16" s="416">
        <f>SUM(C16:R16)</f>
        <v>-25989</v>
      </c>
    </row>
    <row r="17" spans="1:26" s="416" customFormat="1" x14ac:dyDescent="0.2">
      <c r="A17" s="430">
        <v>2009</v>
      </c>
      <c r="B17" s="438">
        <f>3258+815</f>
        <v>4073</v>
      </c>
      <c r="C17" s="438"/>
      <c r="D17" s="438"/>
      <c r="E17" s="438"/>
      <c r="N17" s="416">
        <v>815</v>
      </c>
      <c r="O17" s="416">
        <v>815</v>
      </c>
      <c r="P17" s="422">
        <v>815</v>
      </c>
      <c r="Q17" s="416">
        <v>814</v>
      </c>
      <c r="R17" s="416">
        <v>814</v>
      </c>
      <c r="S17" s="414"/>
      <c r="T17" s="549"/>
      <c r="Y17" s="416">
        <f>SUM(C17:R17)</f>
        <v>4073</v>
      </c>
    </row>
    <row r="18" spans="1:26" x14ac:dyDescent="0.2">
      <c r="A18" s="430">
        <v>2010</v>
      </c>
      <c r="B18" s="438">
        <f>2115+529</f>
        <v>2644</v>
      </c>
      <c r="C18" s="438"/>
      <c r="D18" s="438"/>
      <c r="E18" s="438"/>
      <c r="F18" s="416"/>
      <c r="G18" s="416"/>
      <c r="H18" s="416"/>
      <c r="I18" s="416"/>
      <c r="J18" s="416"/>
      <c r="K18" s="416"/>
      <c r="L18" s="416"/>
      <c r="M18" s="416"/>
      <c r="N18" s="416"/>
      <c r="O18" s="416">
        <f>ROUND($B$18/5,0)</f>
        <v>529</v>
      </c>
      <c r="P18" s="422">
        <f>ROUND($B$18/5,0)</f>
        <v>529</v>
      </c>
      <c r="Q18" s="416">
        <f>ROUND($B$18/5,0)</f>
        <v>529</v>
      </c>
      <c r="R18" s="416">
        <f>ROUND($B$18/5,0)</f>
        <v>529</v>
      </c>
      <c r="S18" s="414">
        <f>ROUND($B$18/5,0)-1</f>
        <v>528</v>
      </c>
      <c r="T18" s="549"/>
      <c r="U18" s="416"/>
      <c r="V18" s="416"/>
      <c r="W18" s="416"/>
      <c r="X18" s="416"/>
      <c r="Y18" s="416">
        <f>SUM(O18:S18)</f>
        <v>2644</v>
      </c>
    </row>
    <row r="19" spans="1:26" s="416" customFormat="1" x14ac:dyDescent="0.2">
      <c r="A19" s="430">
        <v>2011</v>
      </c>
      <c r="B19" s="438">
        <f>-'[1]Comparison of smoothing 2011'!K27</f>
        <v>4247</v>
      </c>
      <c r="C19" s="438"/>
      <c r="D19" s="438"/>
      <c r="E19" s="438"/>
      <c r="P19" s="416">
        <f>ROUND($B$19/5,0)+1</f>
        <v>850</v>
      </c>
      <c r="Q19" s="416">
        <f>ROUND($B$19/5,0)+1</f>
        <v>850</v>
      </c>
      <c r="R19" s="416">
        <f>ROUND($B$19/5,0)</f>
        <v>849</v>
      </c>
      <c r="S19" s="414">
        <f>ROUND($B$19/5,0)</f>
        <v>849</v>
      </c>
      <c r="T19" s="549">
        <f>ROUND($B$19/5,0)</f>
        <v>849</v>
      </c>
      <c r="Y19" s="416">
        <f>SUM(P19:T19)</f>
        <v>4247</v>
      </c>
    </row>
    <row r="20" spans="1:26" s="416" customFormat="1" x14ac:dyDescent="0.2">
      <c r="A20" s="430">
        <v>2012</v>
      </c>
      <c r="B20" s="438">
        <f>-'[1]Gain avai. for smoothing 2012'!K20</f>
        <v>6555</v>
      </c>
      <c r="C20" s="438"/>
      <c r="D20" s="438"/>
      <c r="E20" s="438"/>
      <c r="Q20" s="416">
        <f>ROUND($B$20/5,0)</f>
        <v>1311</v>
      </c>
      <c r="R20" s="416">
        <f>ROUND($B$20/5,0)</f>
        <v>1311</v>
      </c>
      <c r="S20" s="414">
        <f>ROUND($B$20/5,0)</f>
        <v>1311</v>
      </c>
      <c r="T20" s="549">
        <f>ROUND($B$20/5,0)-1</f>
        <v>1310</v>
      </c>
      <c r="U20" s="416">
        <f>ROUND($B$20/5,0)-1</f>
        <v>1310</v>
      </c>
      <c r="Y20" s="416">
        <f>SUM(P20:U20)</f>
        <v>6553</v>
      </c>
    </row>
    <row r="21" spans="1:26" s="416" customFormat="1" x14ac:dyDescent="0.2">
      <c r="A21" s="430">
        <v>2013</v>
      </c>
      <c r="B21" s="438">
        <f>-'[1]Gain avai. for smoothing 2013'!K20</f>
        <v>4673</v>
      </c>
      <c r="C21" s="438"/>
      <c r="D21" s="438"/>
      <c r="E21" s="438"/>
      <c r="R21" s="416">
        <f>ROUND($B$21/5,0)+1</f>
        <v>936</v>
      </c>
      <c r="S21" s="414">
        <f>ROUND($B$21/5,0)</f>
        <v>935</v>
      </c>
      <c r="T21" s="549">
        <f t="shared" ref="T21:V21" si="2">ROUND($B$21/5,0)</f>
        <v>935</v>
      </c>
      <c r="U21" s="416">
        <f t="shared" si="2"/>
        <v>935</v>
      </c>
      <c r="V21" s="416">
        <f t="shared" si="2"/>
        <v>935</v>
      </c>
      <c r="Y21" s="416">
        <f>SUM(P21:V21)</f>
        <v>4676</v>
      </c>
    </row>
    <row r="22" spans="1:26" x14ac:dyDescent="0.2">
      <c r="A22" s="441">
        <v>2014</v>
      </c>
      <c r="B22" s="437">
        <f>-'[1]Gain avai. for smoothing 2014'!K20</f>
        <v>6408</v>
      </c>
      <c r="C22" s="433"/>
      <c r="D22" s="433"/>
      <c r="E22" s="433"/>
      <c r="F22" s="414"/>
      <c r="G22" s="414"/>
      <c r="H22" s="414"/>
      <c r="I22" s="414"/>
      <c r="J22" s="414"/>
      <c r="K22" s="414"/>
      <c r="L22" s="414"/>
      <c r="M22" s="414"/>
      <c r="N22" s="414"/>
      <c r="O22" s="414"/>
      <c r="P22" s="414"/>
      <c r="Q22" s="414"/>
      <c r="R22" s="414"/>
      <c r="S22" s="429">
        <f>ROUND($B$22/5,0)</f>
        <v>1282</v>
      </c>
      <c r="T22" s="552">
        <f>ROUND($B$22/5,0)</f>
        <v>1282</v>
      </c>
      <c r="U22" s="429">
        <f>ROUND($B$22/5,0)</f>
        <v>1282</v>
      </c>
      <c r="V22" s="425">
        <f>ROUND($B$22/5,0)-1</f>
        <v>1281</v>
      </c>
      <c r="W22" s="425">
        <f>ROUND($B$22/5,0)-1</f>
        <v>1281</v>
      </c>
      <c r="X22" s="425"/>
      <c r="Y22" s="414">
        <f>SUM(C22:W22)</f>
        <v>6408</v>
      </c>
    </row>
    <row r="23" spans="1:26" x14ac:dyDescent="0.2">
      <c r="A23" s="553">
        <v>2015</v>
      </c>
      <c r="B23" s="554">
        <f>-'Gain avai. for smoothing 2015'!K20</f>
        <v>9272</v>
      </c>
      <c r="C23" s="554"/>
      <c r="D23" s="554"/>
      <c r="E23" s="554"/>
      <c r="F23" s="549"/>
      <c r="G23" s="549"/>
      <c r="H23" s="549"/>
      <c r="I23" s="549"/>
      <c r="J23" s="549"/>
      <c r="K23" s="549"/>
      <c r="L23" s="549"/>
      <c r="M23" s="549"/>
      <c r="N23" s="549"/>
      <c r="O23" s="549"/>
      <c r="P23" s="549"/>
      <c r="Q23" s="549"/>
      <c r="R23" s="549"/>
      <c r="S23" s="552"/>
      <c r="T23" s="552">
        <f>ROUND($B$23/5,0)</f>
        <v>1854</v>
      </c>
      <c r="U23" s="552">
        <f t="shared" ref="U23:V23" si="3">ROUND($B$23/5,0)</f>
        <v>1854</v>
      </c>
      <c r="V23" s="552">
        <f t="shared" si="3"/>
        <v>1854</v>
      </c>
      <c r="W23" s="555">
        <f>ROUND($B$23/5,0)+1</f>
        <v>1855</v>
      </c>
      <c r="X23" s="555">
        <f>ROUND($B$23/5,0)+1</f>
        <v>1855</v>
      </c>
      <c r="Y23" s="549">
        <f>SUM(T23:X23)</f>
        <v>9272</v>
      </c>
      <c r="Z23" s="417">
        <f>B23-Y23</f>
        <v>0</v>
      </c>
    </row>
    <row r="24" spans="1:26" x14ac:dyDescent="0.2">
      <c r="R24" s="416"/>
      <c r="S24" s="414"/>
      <c r="T24" s="549"/>
    </row>
    <row r="25" spans="1:26" x14ac:dyDescent="0.2">
      <c r="A25" s="440" t="s">
        <v>429</v>
      </c>
      <c r="E25" s="417"/>
      <c r="F25" s="417">
        <f>SUM(G6:J9)</f>
        <v>-2973</v>
      </c>
      <c r="G25" s="417">
        <f>SUM(H7:K10)</f>
        <v>-9644</v>
      </c>
      <c r="H25" s="417">
        <f>SUM(I8:L11)</f>
        <v>-3480</v>
      </c>
      <c r="I25" s="417">
        <f>SUM(J9:M12)</f>
        <v>1535</v>
      </c>
      <c r="J25" s="417">
        <f>SUM(K10:N13)</f>
        <v>7434</v>
      </c>
      <c r="K25" s="417">
        <f>SUM(L11:O14)</f>
        <v>11164</v>
      </c>
      <c r="L25" s="417">
        <f>SUM(M12:P15)</f>
        <v>3629</v>
      </c>
      <c r="M25" s="416">
        <f>SUM(N13:Q16)</f>
        <v>-19525</v>
      </c>
      <c r="N25" s="416">
        <f>SUM(O14:R17)</f>
        <v>-12705</v>
      </c>
      <c r="O25" s="416">
        <f>SUM(P15:S18)</f>
        <v>-6656</v>
      </c>
      <c r="P25" s="417">
        <f>SUM(Q15:T19)</f>
        <v>1414</v>
      </c>
      <c r="Q25" s="416">
        <f>SUM(R17:U20)</f>
        <v>9660</v>
      </c>
      <c r="R25" s="416">
        <f>SUM(S18:V21)</f>
        <v>9897</v>
      </c>
      <c r="S25" s="414">
        <f>SUM(T19:W22)</f>
        <v>11400</v>
      </c>
      <c r="T25" s="549">
        <f>SUM(U20:X23)</f>
        <v>14442</v>
      </c>
      <c r="U25" s="417">
        <f>SUM(V21:X23)</f>
        <v>9061</v>
      </c>
      <c r="V25" s="417">
        <f>SUM(W22:X23)</f>
        <v>4991</v>
      </c>
      <c r="W25" s="417">
        <f>SUM(X23)</f>
        <v>1855</v>
      </c>
    </row>
    <row r="26" spans="1:26" x14ac:dyDescent="0.2">
      <c r="R26" s="416"/>
      <c r="S26" s="414"/>
      <c r="T26" s="549"/>
    </row>
    <row r="27" spans="1:26" x14ac:dyDescent="0.2">
      <c r="A27" s="440" t="s">
        <v>430</v>
      </c>
      <c r="G27" s="417">
        <f t="shared" ref="G27:S27" si="4">SUM(G6:G24)</f>
        <v>-1585</v>
      </c>
      <c r="H27" s="417">
        <f t="shared" si="4"/>
        <v>-764</v>
      </c>
      <c r="I27" s="417">
        <f t="shared" si="4"/>
        <v>-1379</v>
      </c>
      <c r="J27" s="417">
        <f t="shared" si="4"/>
        <v>30</v>
      </c>
      <c r="K27" s="417">
        <f t="shared" si="4"/>
        <v>2610</v>
      </c>
      <c r="L27" s="417">
        <f t="shared" si="4"/>
        <v>3443</v>
      </c>
      <c r="M27" s="417">
        <f t="shared" si="4"/>
        <v>-2835</v>
      </c>
      <c r="N27" s="417">
        <f t="shared" si="4"/>
        <v>-2747</v>
      </c>
      <c r="O27" s="417">
        <f t="shared" si="4"/>
        <v>-3405</v>
      </c>
      <c r="P27" s="417">
        <f t="shared" si="4"/>
        <v>-3823</v>
      </c>
      <c r="Q27" s="416">
        <f t="shared" si="4"/>
        <v>-1693</v>
      </c>
      <c r="R27" s="416">
        <f t="shared" si="4"/>
        <v>4439</v>
      </c>
      <c r="S27" s="414">
        <f t="shared" si="4"/>
        <v>4905</v>
      </c>
      <c r="T27" s="549">
        <f>SUM(T6:T24)</f>
        <v>6230</v>
      </c>
      <c r="U27" s="417">
        <f>SUM(U6:U24)</f>
        <v>5381</v>
      </c>
      <c r="V27" s="417">
        <f>SUM(V6:V24)</f>
        <v>4070</v>
      </c>
      <c r="W27" s="417">
        <f>SUM(W6:W24)</f>
        <v>3136</v>
      </c>
      <c r="X27" s="417">
        <f>SUM(X6:X24)</f>
        <v>1855</v>
      </c>
    </row>
    <row r="30" spans="1:26" x14ac:dyDescent="0.2">
      <c r="A30" s="418" t="s">
        <v>431</v>
      </c>
      <c r="D30" s="418">
        <f>SUM(B8:B10)</f>
        <v>-15928</v>
      </c>
    </row>
    <row r="31" spans="1:26" x14ac:dyDescent="0.2">
      <c r="A31" s="440" t="s">
        <v>432</v>
      </c>
      <c r="D31" s="418">
        <f>SUM(B11:B14)</f>
        <v>21305</v>
      </c>
    </row>
    <row r="32" spans="1:26" x14ac:dyDescent="0.2">
      <c r="A32" s="418" t="s">
        <v>433</v>
      </c>
      <c r="D32" s="438">
        <f>SUM(B15:B16)</f>
        <v>-30080</v>
      </c>
    </row>
    <row r="33" spans="1:5" x14ac:dyDescent="0.2">
      <c r="A33" s="440" t="s">
        <v>434</v>
      </c>
      <c r="D33" s="438">
        <f>+B17</f>
        <v>4073</v>
      </c>
    </row>
    <row r="34" spans="1:5" x14ac:dyDescent="0.2">
      <c r="A34" s="440" t="s">
        <v>435</v>
      </c>
      <c r="D34" s="438">
        <f>+B18</f>
        <v>2644</v>
      </c>
    </row>
    <row r="35" spans="1:5" x14ac:dyDescent="0.2">
      <c r="A35" s="440" t="s">
        <v>436</v>
      </c>
      <c r="D35" s="438">
        <f>B19</f>
        <v>4247</v>
      </c>
    </row>
    <row r="36" spans="1:5" x14ac:dyDescent="0.2">
      <c r="A36" s="440" t="s">
        <v>437</v>
      </c>
      <c r="D36" s="438">
        <f>B20</f>
        <v>6555</v>
      </c>
    </row>
    <row r="37" spans="1:5" x14ac:dyDescent="0.2">
      <c r="A37" s="440" t="s">
        <v>438</v>
      </c>
      <c r="D37" s="418">
        <f>B21</f>
        <v>4673</v>
      </c>
    </row>
    <row r="38" spans="1:5" x14ac:dyDescent="0.2">
      <c r="A38" s="421" t="s">
        <v>439</v>
      </c>
      <c r="D38" s="418">
        <f>B22</f>
        <v>6408</v>
      </c>
    </row>
    <row r="39" spans="1:5" x14ac:dyDescent="0.2">
      <c r="A39" s="421" t="s">
        <v>450</v>
      </c>
      <c r="D39" s="418">
        <f>B23</f>
        <v>9272</v>
      </c>
      <c r="E39" s="556">
        <f>SUM(D33:D39)</f>
        <v>37872</v>
      </c>
    </row>
  </sheetData>
  <pageMargins left="0.75" right="0.75" top="1" bottom="1" header="0.5" footer="0.5"/>
  <pageSetup paperSize="5" scale="65" orientation="landscape" r:id="rId1"/>
  <headerFooter alignWithMargins="0">
    <oddFooter>&amp;L&amp;F&amp;C&amp;A&amp;R&amp;D  &amp;T</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30"/>
  <sheetViews>
    <sheetView workbookViewId="0">
      <selection activeCell="K19" sqref="K19"/>
    </sheetView>
  </sheetViews>
  <sheetFormatPr baseColWidth="10" defaultColWidth="9.140625" defaultRowHeight="15" x14ac:dyDescent="0.25"/>
  <cols>
    <col min="1" max="1" width="1" style="443" customWidth="1"/>
    <col min="2" max="2" width="12.28515625" style="443" customWidth="1"/>
    <col min="3" max="3" width="10.5703125" style="443" customWidth="1"/>
    <col min="4" max="4" width="8.140625" style="443" customWidth="1"/>
    <col min="5" max="5" width="9.7109375" style="443" customWidth="1"/>
    <col min="6" max="6" width="8.5703125" style="443" customWidth="1"/>
    <col min="7" max="7" width="12.42578125" style="443" customWidth="1"/>
    <col min="8" max="8" width="9.5703125" style="443" bestFit="1" customWidth="1"/>
    <col min="9" max="9" width="8.42578125" style="443" customWidth="1"/>
    <col min="10" max="10" width="9.5703125" style="443" bestFit="1" customWidth="1"/>
    <col min="11" max="11" width="11" style="443" customWidth="1"/>
    <col min="12" max="12" width="7.7109375" style="443" customWidth="1"/>
    <col min="13" max="13" width="2.5703125" style="443" customWidth="1"/>
    <col min="14" max="14" width="12.140625" style="443" customWidth="1"/>
    <col min="15" max="15" width="2.7109375" style="443" customWidth="1"/>
    <col min="16" max="16384" width="9.140625" style="443"/>
  </cols>
  <sheetData>
    <row r="1" spans="1:15" x14ac:dyDescent="0.25">
      <c r="C1" s="444" t="s">
        <v>451</v>
      </c>
    </row>
    <row r="3" spans="1:15" x14ac:dyDescent="0.25">
      <c r="A3" s="445"/>
      <c r="B3" s="446"/>
      <c r="C3" s="447"/>
      <c r="D3" s="447"/>
      <c r="E3" s="447"/>
      <c r="F3" s="447"/>
      <c r="G3" s="447"/>
      <c r="H3" s="447"/>
      <c r="I3" s="447"/>
      <c r="J3" s="447"/>
      <c r="K3" s="447"/>
      <c r="L3" s="447"/>
      <c r="M3" s="447"/>
      <c r="N3" s="447"/>
    </row>
    <row r="4" spans="1:15" x14ac:dyDescent="0.25">
      <c r="A4" s="445"/>
      <c r="B4" s="443" t="s">
        <v>452</v>
      </c>
    </row>
    <row r="6" spans="1:15" x14ac:dyDescent="0.25">
      <c r="B6" s="443" t="s">
        <v>440</v>
      </c>
      <c r="H6" s="448"/>
      <c r="I6" s="448"/>
      <c r="J6" s="448"/>
      <c r="K6" s="449">
        <v>154476</v>
      </c>
    </row>
    <row r="7" spans="1:15" x14ac:dyDescent="0.25">
      <c r="B7" s="450" t="s">
        <v>453</v>
      </c>
      <c r="H7" s="448"/>
      <c r="I7" s="448"/>
      <c r="J7" s="448"/>
      <c r="K7" s="449">
        <f>'[1]Assumptions and Trends'!S47</f>
        <v>3299</v>
      </c>
    </row>
    <row r="8" spans="1:15" x14ac:dyDescent="0.25">
      <c r="B8" s="450" t="s">
        <v>454</v>
      </c>
      <c r="C8" s="451"/>
      <c r="D8" s="451"/>
      <c r="E8" s="451"/>
      <c r="F8" s="451"/>
      <c r="G8" s="451"/>
      <c r="H8" s="448"/>
      <c r="I8" s="449"/>
      <c r="J8" s="449"/>
      <c r="K8" s="449">
        <f>-'[1]Assumptions and Trends'!S28</f>
        <v>-5537</v>
      </c>
      <c r="L8" s="451"/>
      <c r="M8" s="451"/>
      <c r="N8" s="451"/>
      <c r="O8" s="451"/>
    </row>
    <row r="9" spans="1:15" x14ac:dyDescent="0.25">
      <c r="B9" s="450" t="s">
        <v>441</v>
      </c>
      <c r="C9" s="451"/>
      <c r="D9" s="451"/>
      <c r="E9" s="451"/>
      <c r="F9" s="451"/>
      <c r="G9" s="451"/>
      <c r="H9" s="448"/>
      <c r="I9" s="449"/>
      <c r="J9" s="449"/>
      <c r="K9" s="449">
        <v>-38</v>
      </c>
      <c r="L9" s="451"/>
      <c r="M9" s="451"/>
      <c r="N9" s="451"/>
      <c r="O9" s="451"/>
    </row>
    <row r="10" spans="1:15" x14ac:dyDescent="0.25">
      <c r="B10" s="450" t="s">
        <v>442</v>
      </c>
      <c r="C10" s="451"/>
      <c r="D10" s="451"/>
      <c r="E10" s="451"/>
      <c r="F10" s="451"/>
      <c r="G10" s="451"/>
      <c r="H10" s="449"/>
      <c r="I10" s="449"/>
      <c r="J10" s="449"/>
      <c r="K10" s="449"/>
      <c r="L10" s="449"/>
      <c r="M10" s="451"/>
      <c r="N10" s="451"/>
      <c r="O10" s="451"/>
    </row>
    <row r="11" spans="1:15" x14ac:dyDescent="0.25">
      <c r="B11" s="452"/>
      <c r="C11" s="451" t="s">
        <v>455</v>
      </c>
      <c r="D11" s="451"/>
      <c r="E11" s="451"/>
      <c r="F11" s="451"/>
      <c r="G11" s="451"/>
      <c r="H11" s="449">
        <f>K6</f>
        <v>154476</v>
      </c>
      <c r="I11" s="449"/>
      <c r="J11" s="449"/>
      <c r="K11" s="449"/>
      <c r="L11" s="449"/>
      <c r="M11" s="451"/>
      <c r="N11" s="451"/>
      <c r="O11" s="451"/>
    </row>
    <row r="12" spans="1:15" x14ac:dyDescent="0.25">
      <c r="B12" s="452"/>
      <c r="C12" s="451" t="s">
        <v>456</v>
      </c>
      <c r="D12" s="451"/>
      <c r="E12" s="451"/>
      <c r="F12" s="451"/>
      <c r="G12" s="451"/>
      <c r="H12" s="557">
        <f>K7/2</f>
        <v>1649.5</v>
      </c>
      <c r="I12" s="449"/>
      <c r="J12" s="449"/>
      <c r="K12" s="449"/>
      <c r="L12" s="449"/>
      <c r="M12" s="451"/>
      <c r="N12" s="451"/>
      <c r="O12" s="451"/>
    </row>
    <row r="13" spans="1:15" x14ac:dyDescent="0.25">
      <c r="B13" s="452"/>
      <c r="C13" s="451" t="s">
        <v>457</v>
      </c>
      <c r="D13" s="451"/>
      <c r="E13" s="451"/>
      <c r="F13" s="451"/>
      <c r="G13" s="451"/>
      <c r="H13" s="453">
        <f>K8/2</f>
        <v>-2768.5</v>
      </c>
      <c r="I13" s="449"/>
      <c r="J13" s="449"/>
      <c r="K13" s="449"/>
      <c r="L13" s="449"/>
      <c r="M13" s="451"/>
      <c r="N13" s="451"/>
      <c r="O13" s="451"/>
    </row>
    <row r="14" spans="1:15" x14ac:dyDescent="0.25">
      <c r="B14" s="452"/>
      <c r="C14" s="451"/>
      <c r="D14" s="451"/>
      <c r="E14" s="451"/>
      <c r="F14" s="451"/>
      <c r="G14" s="451"/>
      <c r="H14" s="449">
        <f>SUM(H11:H13)</f>
        <v>153357</v>
      </c>
      <c r="I14" s="449"/>
      <c r="J14" s="449"/>
      <c r="K14" s="449"/>
      <c r="L14" s="449"/>
      <c r="M14" s="451"/>
      <c r="N14" s="451"/>
      <c r="O14" s="451"/>
    </row>
    <row r="15" spans="1:15" x14ac:dyDescent="0.25">
      <c r="B15" s="452"/>
      <c r="C15" s="451" t="s">
        <v>458</v>
      </c>
      <c r="D15" s="451"/>
      <c r="E15" s="451"/>
      <c r="F15" s="451"/>
      <c r="G15" s="451"/>
      <c r="H15" s="454">
        <v>6.5000000000000002E-2</v>
      </c>
      <c r="I15" s="449"/>
      <c r="J15" s="449"/>
      <c r="K15" s="449"/>
      <c r="L15" s="449"/>
      <c r="M15" s="451"/>
      <c r="N15" s="451"/>
      <c r="O15" s="451"/>
    </row>
    <row r="16" spans="1:15" x14ac:dyDescent="0.25">
      <c r="B16" s="452"/>
      <c r="C16" s="451"/>
      <c r="D16" s="451"/>
      <c r="E16" s="451"/>
      <c r="F16" s="451"/>
      <c r="G16" s="451"/>
      <c r="H16" s="449">
        <f>ROUND(H14*H15,0)</f>
        <v>9968</v>
      </c>
      <c r="I16" s="449"/>
      <c r="J16" s="449"/>
      <c r="K16" s="453">
        <f>H16</f>
        <v>9968</v>
      </c>
      <c r="L16" s="449"/>
      <c r="M16" s="451"/>
      <c r="N16" s="451"/>
      <c r="O16" s="451"/>
    </row>
    <row r="17" spans="2:15" x14ac:dyDescent="0.25">
      <c r="B17" s="452"/>
      <c r="C17" s="451"/>
      <c r="D17" s="451"/>
      <c r="E17" s="451"/>
      <c r="F17" s="451"/>
      <c r="G17" s="451"/>
      <c r="H17" s="449"/>
      <c r="I17" s="449"/>
      <c r="J17" s="449"/>
      <c r="K17" s="449"/>
      <c r="L17" s="449"/>
      <c r="M17" s="451"/>
      <c r="N17" s="451"/>
      <c r="O17" s="451"/>
    </row>
    <row r="18" spans="2:15" x14ac:dyDescent="0.25">
      <c r="B18" s="450" t="s">
        <v>443</v>
      </c>
      <c r="C18" s="451"/>
      <c r="D18" s="451"/>
      <c r="E18" s="451"/>
      <c r="F18" s="451"/>
      <c r="G18" s="451"/>
      <c r="H18" s="449"/>
      <c r="I18" s="449"/>
      <c r="J18" s="449"/>
      <c r="K18" s="449">
        <f>SUM(K6:K16)</f>
        <v>162168</v>
      </c>
      <c r="L18" s="449"/>
      <c r="M18" s="451"/>
      <c r="N18" s="451"/>
      <c r="O18" s="451"/>
    </row>
    <row r="19" spans="2:15" x14ac:dyDescent="0.25">
      <c r="B19" s="443" t="s">
        <v>455</v>
      </c>
      <c r="C19" s="451"/>
      <c r="D19" s="451"/>
      <c r="E19" s="451"/>
      <c r="F19" s="451"/>
      <c r="G19" s="451"/>
      <c r="H19" s="449"/>
      <c r="I19" s="449"/>
      <c r="J19" s="449"/>
      <c r="K19" s="558">
        <v>171440</v>
      </c>
      <c r="L19" s="449"/>
      <c r="M19" s="451"/>
      <c r="N19" s="451"/>
      <c r="O19" s="451"/>
    </row>
    <row r="20" spans="2:15" x14ac:dyDescent="0.25">
      <c r="B20" s="443" t="s">
        <v>444</v>
      </c>
      <c r="C20" s="451"/>
      <c r="D20" s="451"/>
      <c r="E20" s="451"/>
      <c r="F20" s="451"/>
      <c r="G20" s="451"/>
      <c r="H20" s="449"/>
      <c r="I20" s="449"/>
      <c r="J20" s="449"/>
      <c r="K20" s="449">
        <f>K18-K19</f>
        <v>-9272</v>
      </c>
      <c r="L20" s="449"/>
      <c r="M20" s="451"/>
      <c r="N20" s="455"/>
      <c r="O20" s="451"/>
    </row>
    <row r="21" spans="2:15" x14ac:dyDescent="0.25">
      <c r="H21" s="448"/>
      <c r="I21" s="448"/>
      <c r="J21" s="448"/>
      <c r="K21" s="448"/>
      <c r="L21" s="448"/>
    </row>
    <row r="22" spans="2:15" x14ac:dyDescent="0.25">
      <c r="B22" s="653" t="s">
        <v>459</v>
      </c>
      <c r="C22" s="654"/>
      <c r="D22" s="654"/>
      <c r="E22" s="654"/>
      <c r="F22" s="654"/>
      <c r="G22" s="654"/>
      <c r="H22" s="654"/>
      <c r="I22" s="654"/>
      <c r="J22" s="654"/>
      <c r="K22" s="654"/>
      <c r="L22" s="654"/>
    </row>
    <row r="23" spans="2:15" x14ac:dyDescent="0.25">
      <c r="B23" s="654"/>
      <c r="C23" s="654"/>
      <c r="D23" s="654"/>
      <c r="E23" s="654"/>
      <c r="F23" s="654"/>
      <c r="G23" s="654"/>
      <c r="H23" s="654"/>
      <c r="I23" s="654"/>
      <c r="J23" s="654"/>
      <c r="K23" s="654"/>
      <c r="L23" s="654"/>
    </row>
    <row r="24" spans="2:15" x14ac:dyDescent="0.25">
      <c r="B24" s="654"/>
      <c r="C24" s="654"/>
      <c r="D24" s="654"/>
      <c r="E24" s="654"/>
      <c r="F24" s="654"/>
      <c r="G24" s="654"/>
      <c r="H24" s="654"/>
      <c r="I24" s="654"/>
      <c r="J24" s="654"/>
      <c r="K24" s="654"/>
      <c r="L24" s="654"/>
    </row>
    <row r="25" spans="2:15" x14ac:dyDescent="0.25">
      <c r="B25" s="654"/>
      <c r="C25" s="654"/>
      <c r="D25" s="654"/>
      <c r="E25" s="654"/>
      <c r="F25" s="654"/>
      <c r="G25" s="654"/>
      <c r="H25" s="654"/>
      <c r="I25" s="654"/>
      <c r="J25" s="654"/>
      <c r="K25" s="654"/>
      <c r="L25" s="654"/>
    </row>
    <row r="30" spans="2:15" x14ac:dyDescent="0.25">
      <c r="J30" s="559"/>
    </row>
  </sheetData>
  <mergeCells count="1">
    <mergeCell ref="B22:L25"/>
  </mergeCells>
  <pageMargins left="0.7" right="0.7" top="0.75" bottom="0.75" header="0.3" footer="0.3"/>
  <pageSetup orientation="landscape" horizontalDpi="300" verticalDpi="300" r:id="rId1"/>
  <headerFooter alignWithMargins="0">
    <oddFooter>&amp;F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35"/>
  <sheetViews>
    <sheetView zoomScaleNormal="100" workbookViewId="0">
      <pane xSplit="2" ySplit="5" topLeftCell="G15" activePane="bottomRight" state="frozen"/>
      <selection activeCell="A46" sqref="A46"/>
      <selection pane="topRight" activeCell="A46" sqref="A46"/>
      <selection pane="bottomLeft" activeCell="A46" sqref="A46"/>
      <selection pane="bottomRight" activeCell="U20" sqref="U20"/>
    </sheetView>
  </sheetViews>
  <sheetFormatPr baseColWidth="10" defaultColWidth="9.140625" defaultRowHeight="12.75" outlineLevelCol="1" x14ac:dyDescent="0.2"/>
  <cols>
    <col min="1" max="1" width="61.42578125" customWidth="1"/>
    <col min="2" max="2" width="20.7109375" customWidth="1"/>
    <col min="3" max="4" width="9.42578125" hidden="1" customWidth="1" outlineLevel="1"/>
    <col min="5" max="6" width="9.28515625" hidden="1" customWidth="1" outlineLevel="1"/>
    <col min="7" max="7" width="9.28515625" customWidth="1" collapsed="1"/>
    <col min="8" max="13" width="9.28515625" customWidth="1"/>
    <col min="14" max="14" width="10.140625" customWidth="1"/>
    <col min="15" max="15" width="12.85546875" bestFit="1" customWidth="1"/>
    <col min="16" max="16" width="14" bestFit="1" customWidth="1"/>
    <col min="17" max="17" width="13.140625" style="115" customWidth="1"/>
    <col min="18" max="18" width="12" style="115" customWidth="1"/>
    <col min="19" max="19" width="12.42578125" style="115" customWidth="1"/>
    <col min="20" max="20" width="12.85546875" style="115" customWidth="1"/>
    <col min="21" max="21" width="14.5703125" style="115" bestFit="1" customWidth="1"/>
    <col min="22" max="22" width="12.28515625" style="115" bestFit="1" customWidth="1"/>
    <col min="23" max="27" width="14" style="115" bestFit="1" customWidth="1"/>
    <col min="28" max="28" width="14" style="337" bestFit="1" customWidth="1"/>
    <col min="29" max="31" width="14" style="76" hidden="1" customWidth="1" outlineLevel="1"/>
    <col min="32" max="32" width="14" style="238" hidden="1" customWidth="1" outlineLevel="1"/>
    <col min="33" max="33" width="9.140625" style="115" collapsed="1"/>
    <col min="34" max="16384" width="9.140625" style="115"/>
  </cols>
  <sheetData>
    <row r="1" spans="1:32" ht="15.75" x14ac:dyDescent="0.25">
      <c r="A1" s="18" t="s">
        <v>67</v>
      </c>
    </row>
    <row r="2" spans="1:32" x14ac:dyDescent="0.2">
      <c r="A2" s="2" t="s">
        <v>244</v>
      </c>
    </row>
    <row r="4" spans="1:32" ht="56.25" customHeight="1" x14ac:dyDescent="0.2">
      <c r="Z4" s="338" t="s">
        <v>178</v>
      </c>
      <c r="AA4" s="338" t="s">
        <v>294</v>
      </c>
      <c r="AB4" s="336" t="s">
        <v>309</v>
      </c>
      <c r="AC4" s="309" t="s">
        <v>315</v>
      </c>
      <c r="AD4" s="309" t="s">
        <v>316</v>
      </c>
      <c r="AE4" s="309" t="s">
        <v>317</v>
      </c>
      <c r="AF4" s="310" t="s">
        <v>318</v>
      </c>
    </row>
    <row r="5" spans="1:32" s="214"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341">
        <v>2015</v>
      </c>
      <c r="AC5" s="77">
        <v>2016</v>
      </c>
      <c r="AD5" s="77">
        <v>2017</v>
      </c>
      <c r="AE5" s="77">
        <v>2018</v>
      </c>
      <c r="AF5" s="239">
        <v>2019</v>
      </c>
    </row>
    <row r="6" spans="1:32" s="121" customFormat="1" x14ac:dyDescent="0.2">
      <c r="A6" s="3"/>
      <c r="B6" s="3"/>
      <c r="C6" s="3"/>
      <c r="D6" s="3"/>
      <c r="E6" s="3"/>
      <c r="F6" s="3"/>
      <c r="G6" s="3"/>
      <c r="H6" s="3"/>
      <c r="I6" s="3"/>
      <c r="J6" s="3"/>
      <c r="K6" s="3"/>
      <c r="L6" s="3"/>
      <c r="M6" s="3"/>
      <c r="N6" s="3"/>
      <c r="O6" s="3"/>
      <c r="P6" s="3"/>
      <c r="AB6" s="344"/>
      <c r="AC6" s="79"/>
      <c r="AD6" s="79"/>
      <c r="AE6" s="79"/>
      <c r="AF6" s="240"/>
    </row>
    <row r="7" spans="1:32" s="121" customFormat="1" x14ac:dyDescent="0.2">
      <c r="A7" s="3"/>
      <c r="B7" s="3"/>
      <c r="C7" s="3"/>
      <c r="D7" s="3"/>
      <c r="E7" s="3"/>
      <c r="F7" s="3"/>
      <c r="G7" s="3"/>
      <c r="H7" s="3"/>
      <c r="I7" s="3"/>
      <c r="J7" s="3"/>
      <c r="K7" s="3"/>
      <c r="L7" s="3"/>
      <c r="M7" s="3"/>
      <c r="N7" s="3"/>
      <c r="O7" s="3"/>
      <c r="P7" s="3"/>
      <c r="AB7" s="344"/>
      <c r="AC7" s="79"/>
      <c r="AD7" s="79"/>
      <c r="AE7" s="79"/>
      <c r="AF7" s="240"/>
    </row>
    <row r="8" spans="1:32" s="121" customFormat="1" x14ac:dyDescent="0.2">
      <c r="A8" s="12" t="s">
        <v>245</v>
      </c>
      <c r="B8" s="3"/>
      <c r="C8" s="3"/>
      <c r="D8" s="3"/>
      <c r="E8" s="3"/>
      <c r="F8" s="3"/>
      <c r="G8" s="3"/>
      <c r="H8" s="3"/>
      <c r="I8" s="3"/>
      <c r="J8" s="3"/>
      <c r="K8" s="3"/>
      <c r="L8" s="3"/>
      <c r="M8" s="3"/>
      <c r="N8" s="3"/>
      <c r="O8" s="3"/>
      <c r="P8" s="3"/>
      <c r="AB8" s="344"/>
      <c r="AC8" s="79"/>
      <c r="AD8" s="79"/>
      <c r="AE8" s="79"/>
      <c r="AF8" s="240"/>
    </row>
    <row r="9" spans="1:32" s="121" customFormat="1" x14ac:dyDescent="0.2">
      <c r="A9" s="3"/>
      <c r="B9" s="3"/>
      <c r="C9" s="3"/>
      <c r="D9" s="3"/>
      <c r="E9" s="3"/>
      <c r="F9" s="3"/>
      <c r="G9" s="3"/>
      <c r="H9" s="3"/>
      <c r="I9" s="3"/>
      <c r="J9" s="3"/>
      <c r="K9" s="3"/>
      <c r="L9" s="3"/>
      <c r="M9" s="3"/>
      <c r="N9" s="3"/>
      <c r="O9" s="3"/>
      <c r="P9" s="3"/>
      <c r="AB9" s="344"/>
      <c r="AC9" s="79"/>
      <c r="AD9" s="79"/>
      <c r="AE9" s="79"/>
      <c r="AF9" s="240"/>
    </row>
    <row r="10" spans="1:32" s="121" customFormat="1" x14ac:dyDescent="0.2">
      <c r="A10" s="3" t="s">
        <v>218</v>
      </c>
      <c r="B10" s="3" t="s">
        <v>238</v>
      </c>
      <c r="C10" s="3">
        <f>C26/2</f>
        <v>465</v>
      </c>
      <c r="D10" s="3">
        <f>D26/2</f>
        <v>590</v>
      </c>
      <c r="E10" s="3">
        <f>E26/2</f>
        <v>594</v>
      </c>
      <c r="F10" s="3">
        <f>F26/2</f>
        <v>585</v>
      </c>
      <c r="G10" s="3">
        <f t="shared" ref="G10:N10" si="0">G26/2</f>
        <v>646</v>
      </c>
      <c r="H10" s="3">
        <f t="shared" si="0"/>
        <v>681.5</v>
      </c>
      <c r="I10" s="3">
        <f t="shared" si="0"/>
        <v>668.5</v>
      </c>
      <c r="J10" s="3">
        <f t="shared" si="0"/>
        <v>602</v>
      </c>
      <c r="K10" s="3">
        <f t="shared" si="0"/>
        <v>652.5</v>
      </c>
      <c r="L10" s="3">
        <f t="shared" si="0"/>
        <v>650.5</v>
      </c>
      <c r="M10" s="3">
        <f t="shared" si="0"/>
        <v>650</v>
      </c>
      <c r="N10" s="3">
        <f t="shared" si="0"/>
        <v>769.5</v>
      </c>
      <c r="O10" s="3">
        <f t="shared" ref="O10:U10" si="1">O26/2</f>
        <v>847.5</v>
      </c>
      <c r="P10" s="3">
        <f t="shared" si="1"/>
        <v>867.5</v>
      </c>
      <c r="Q10" s="121">
        <f t="shared" si="1"/>
        <v>878</v>
      </c>
      <c r="R10" s="121">
        <f t="shared" si="1"/>
        <v>954.5</v>
      </c>
      <c r="S10" s="121">
        <f t="shared" si="1"/>
        <v>997.5</v>
      </c>
      <c r="T10" s="121">
        <f t="shared" si="1"/>
        <v>1051</v>
      </c>
      <c r="U10" s="121">
        <f t="shared" si="1"/>
        <v>1118</v>
      </c>
      <c r="V10" s="121">
        <f t="shared" ref="V10:AA10" si="2">V26/2</f>
        <v>1174.5</v>
      </c>
      <c r="W10" s="121">
        <f t="shared" si="2"/>
        <v>1217</v>
      </c>
      <c r="X10" s="121">
        <f t="shared" si="2"/>
        <v>1282.5</v>
      </c>
      <c r="Y10" s="121">
        <f>Y26/2</f>
        <v>1395.5</v>
      </c>
      <c r="Z10" s="121">
        <f t="shared" si="2"/>
        <v>1327</v>
      </c>
      <c r="AA10" s="121">
        <f t="shared" si="2"/>
        <v>1462</v>
      </c>
      <c r="AB10" s="344">
        <f>AB26/2</f>
        <v>1451</v>
      </c>
      <c r="AC10" s="79">
        <f>AC26/2</f>
        <v>1511.796875</v>
      </c>
      <c r="AD10" s="79">
        <f>AD26/2</f>
        <v>1631.0513452148434</v>
      </c>
      <c r="AE10" s="79">
        <f>AE26/2</f>
        <v>1750.202044587707</v>
      </c>
      <c r="AF10" s="240">
        <f>AF26/2</f>
        <v>1878.0037412594415</v>
      </c>
    </row>
    <row r="11" spans="1:32" s="121" customFormat="1" x14ac:dyDescent="0.2">
      <c r="A11" s="3" t="s">
        <v>219</v>
      </c>
      <c r="B11" s="3" t="s">
        <v>238</v>
      </c>
      <c r="C11" s="23" t="s">
        <v>12</v>
      </c>
      <c r="D11" s="3">
        <f>+D28/2</f>
        <v>-55.5</v>
      </c>
      <c r="E11" s="3">
        <f>+E28/2</f>
        <v>-30.5</v>
      </c>
      <c r="F11" s="3">
        <f>+F28/2</f>
        <v>-128.5</v>
      </c>
      <c r="G11" s="3">
        <f t="shared" ref="G11:N11" si="3">+G28/2</f>
        <v>-74</v>
      </c>
      <c r="H11" s="3">
        <f t="shared" si="3"/>
        <v>-146.5</v>
      </c>
      <c r="I11" s="3">
        <f t="shared" si="3"/>
        <v>-190</v>
      </c>
      <c r="J11" s="3">
        <f t="shared" si="3"/>
        <v>-219.5</v>
      </c>
      <c r="K11" s="3">
        <f t="shared" si="3"/>
        <v>-325.5</v>
      </c>
      <c r="L11" s="3">
        <f t="shared" si="3"/>
        <v>-485</v>
      </c>
      <c r="M11" s="3">
        <f t="shared" si="3"/>
        <v>-567.5</v>
      </c>
      <c r="N11" s="3">
        <f t="shared" si="3"/>
        <v>-235</v>
      </c>
      <c r="O11" s="3">
        <f t="shared" ref="O11:U11" si="4">+O28/2</f>
        <v>-246.5</v>
      </c>
      <c r="P11" s="3">
        <f t="shared" si="4"/>
        <v>-222</v>
      </c>
      <c r="Q11" s="121">
        <f t="shared" si="4"/>
        <v>-233</v>
      </c>
      <c r="R11" s="121">
        <f t="shared" si="4"/>
        <v>-233.5</v>
      </c>
      <c r="S11" s="121">
        <f t="shared" si="4"/>
        <v>-235</v>
      </c>
      <c r="T11" s="121">
        <f t="shared" si="4"/>
        <v>-355</v>
      </c>
      <c r="U11" s="121">
        <f t="shared" si="4"/>
        <v>-556.5</v>
      </c>
      <c r="V11" s="121">
        <f t="shared" ref="V11:AA11" si="5">+V28/2</f>
        <v>-458</v>
      </c>
      <c r="W11" s="121">
        <f t="shared" si="5"/>
        <v>-293.5</v>
      </c>
      <c r="X11" s="121">
        <f t="shared" si="5"/>
        <v>-245</v>
      </c>
      <c r="Y11" s="121">
        <f>+Y28/2</f>
        <v>-90.5</v>
      </c>
      <c r="Z11" s="121">
        <f t="shared" si="5"/>
        <v>35</v>
      </c>
      <c r="AA11" s="121">
        <f t="shared" si="5"/>
        <v>-156</v>
      </c>
      <c r="AB11" s="344">
        <f>+AB28/2</f>
        <v>-361.5</v>
      </c>
      <c r="AC11" s="79">
        <f>+AC28/2</f>
        <v>-682</v>
      </c>
      <c r="AD11" s="79">
        <f>+AD28/2</f>
        <v>-879.5</v>
      </c>
      <c r="AE11" s="79">
        <f>+AE28/2</f>
        <v>-1035.5</v>
      </c>
      <c r="AF11" s="240">
        <f>+AF28/2</f>
        <v>-1176.5</v>
      </c>
    </row>
    <row r="12" spans="1:32" s="121" customFormat="1" x14ac:dyDescent="0.2">
      <c r="A12" s="3" t="s">
        <v>221</v>
      </c>
      <c r="B12" s="3" t="s">
        <v>238</v>
      </c>
      <c r="C12" s="3">
        <f>C29/2</f>
        <v>167.3175</v>
      </c>
      <c r="D12" s="3">
        <f>D29/2</f>
        <v>209.71499999999992</v>
      </c>
      <c r="E12" s="3">
        <f>E29/2</f>
        <v>115.49624999999992</v>
      </c>
      <c r="F12" s="3">
        <f>F29/2</f>
        <v>126.546875</v>
      </c>
      <c r="G12" s="3">
        <f t="shared" ref="G12:N12" si="6">G29/2</f>
        <v>108.89374999999995</v>
      </c>
      <c r="H12" s="3">
        <f t="shared" si="6"/>
        <v>148.19374999999991</v>
      </c>
      <c r="I12" s="3">
        <f t="shared" si="6"/>
        <v>71.337500000000091</v>
      </c>
      <c r="J12" s="3">
        <f t="shared" si="6"/>
        <v>17.744374999999991</v>
      </c>
      <c r="K12" s="3">
        <f t="shared" si="6"/>
        <v>-62.928750000000036</v>
      </c>
      <c r="L12" s="3">
        <f t="shared" si="6"/>
        <v>-188.3587500000001</v>
      </c>
      <c r="M12" s="3">
        <f t="shared" si="6"/>
        <v>-353.4224999999999</v>
      </c>
      <c r="N12" s="3">
        <f t="shared" si="6"/>
        <v>-374.36000000000013</v>
      </c>
      <c r="O12" s="3">
        <f t="shared" ref="O12:U12" si="7">O29/2</f>
        <v>-249.63999999999987</v>
      </c>
      <c r="P12" s="3">
        <f t="shared" si="7"/>
        <v>-272.08000000000038</v>
      </c>
      <c r="Q12" s="121">
        <f t="shared" si="7"/>
        <v>-260.61250000000018</v>
      </c>
      <c r="R12" s="121">
        <f t="shared" si="7"/>
        <v>-280.72500000000036</v>
      </c>
      <c r="S12" s="121">
        <f t="shared" si="7"/>
        <v>-257.72499999999991</v>
      </c>
      <c r="T12" s="121">
        <f t="shared" si="7"/>
        <v>-380.67437500000005</v>
      </c>
      <c r="U12" s="121">
        <f t="shared" si="7"/>
        <v>-536.41249999999991</v>
      </c>
      <c r="V12" s="121">
        <f t="shared" ref="V12:AA12" si="8">V29/2</f>
        <v>-481.15723149999974</v>
      </c>
      <c r="W12" s="121">
        <f t="shared" si="8"/>
        <v>-396.97303771428619</v>
      </c>
      <c r="X12" s="121">
        <f t="shared" si="8"/>
        <v>-494.84393299999982</v>
      </c>
      <c r="Y12" s="121">
        <f>Y29/2</f>
        <v>-387.45359291741045</v>
      </c>
      <c r="Z12" s="121">
        <f t="shared" si="8"/>
        <v>-457.49710000000005</v>
      </c>
      <c r="AA12" s="121">
        <f t="shared" si="8"/>
        <v>-706.66712350000023</v>
      </c>
      <c r="AB12" s="344">
        <f>AB29/2</f>
        <v>-938.66125000000056</v>
      </c>
      <c r="AC12" s="79">
        <f>AC29/2</f>
        <v>-1254.1508000255046</v>
      </c>
      <c r="AD12" s="79">
        <f>AD29/2</f>
        <v>-1542.6691548070423</v>
      </c>
      <c r="AE12" s="79">
        <f>AE29/2</f>
        <v>-1795.3553739037395</v>
      </c>
      <c r="AF12" s="240">
        <f>AF29/2</f>
        <v>-2023.2121335291383</v>
      </c>
    </row>
    <row r="13" spans="1:32" s="121" customFormat="1" x14ac:dyDescent="0.2">
      <c r="A13" s="3" t="s">
        <v>222</v>
      </c>
      <c r="B13" s="3" t="s">
        <v>238</v>
      </c>
      <c r="C13" s="3">
        <f t="shared" ref="C13:F14" si="9">+C30/2</f>
        <v>0</v>
      </c>
      <c r="D13" s="3">
        <f t="shared" si="9"/>
        <v>0</v>
      </c>
      <c r="E13" s="3">
        <f t="shared" si="9"/>
        <v>0</v>
      </c>
      <c r="F13" s="3">
        <f t="shared" si="9"/>
        <v>0</v>
      </c>
      <c r="G13" s="3">
        <f t="shared" ref="G13:N13" si="10">+G30/2</f>
        <v>0</v>
      </c>
      <c r="H13" s="3">
        <f t="shared" si="10"/>
        <v>0</v>
      </c>
      <c r="I13" s="3">
        <f t="shared" si="10"/>
        <v>129</v>
      </c>
      <c r="J13" s="3">
        <f t="shared" si="10"/>
        <v>1006.5</v>
      </c>
      <c r="K13" s="3">
        <f t="shared" si="10"/>
        <v>0</v>
      </c>
      <c r="L13" s="3">
        <f t="shared" si="10"/>
        <v>0</v>
      </c>
      <c r="M13" s="3">
        <f t="shared" si="10"/>
        <v>0</v>
      </c>
      <c r="N13" s="3">
        <f t="shared" si="10"/>
        <v>2259.5</v>
      </c>
      <c r="O13" s="3">
        <f t="shared" ref="O13:P15" si="11">+O30/2</f>
        <v>0</v>
      </c>
      <c r="P13" s="3">
        <f t="shared" si="11"/>
        <v>0</v>
      </c>
      <c r="Q13" s="121">
        <f t="shared" ref="Q13:U14" si="12">+Q30/2</f>
        <v>0</v>
      </c>
      <c r="R13" s="121">
        <f t="shared" si="12"/>
        <v>0</v>
      </c>
      <c r="S13" s="121">
        <f t="shared" si="12"/>
        <v>0</v>
      </c>
      <c r="T13" s="121">
        <f t="shared" si="12"/>
        <v>0</v>
      </c>
      <c r="U13" s="121">
        <f t="shared" si="12"/>
        <v>0</v>
      </c>
      <c r="V13" s="121">
        <f t="shared" ref="V13:X15" si="13">+V30/2</f>
        <v>0</v>
      </c>
      <c r="W13" s="121">
        <f t="shared" si="13"/>
        <v>0</v>
      </c>
      <c r="X13" s="121">
        <f t="shared" si="13"/>
        <v>0</v>
      </c>
      <c r="Y13" s="121">
        <f>+Y30/2</f>
        <v>0</v>
      </c>
      <c r="Z13" s="121">
        <f t="shared" ref="Y13:Z15" si="14">+Z30/2</f>
        <v>0</v>
      </c>
      <c r="AA13" s="121">
        <f t="shared" ref="AA13:AB15" si="15">+AA30/2</f>
        <v>0</v>
      </c>
      <c r="AB13" s="344">
        <f t="shared" si="15"/>
        <v>0</v>
      </c>
      <c r="AC13" s="79">
        <f t="shared" ref="AC13:AD15" si="16">+AC30/2</f>
        <v>0</v>
      </c>
      <c r="AD13" s="79">
        <f t="shared" si="16"/>
        <v>0</v>
      </c>
      <c r="AE13" s="79">
        <f t="shared" ref="AE13:AF13" si="17">+AE30/2</f>
        <v>0</v>
      </c>
      <c r="AF13" s="240">
        <f t="shared" si="17"/>
        <v>0</v>
      </c>
    </row>
    <row r="14" spans="1:32" s="121" customFormat="1" x14ac:dyDescent="0.2">
      <c r="A14" s="3" t="s">
        <v>206</v>
      </c>
      <c r="B14" s="3" t="s">
        <v>238</v>
      </c>
      <c r="C14" s="3">
        <f t="shared" si="9"/>
        <v>0</v>
      </c>
      <c r="D14" s="3">
        <f t="shared" si="9"/>
        <v>0</v>
      </c>
      <c r="E14" s="3">
        <f t="shared" si="9"/>
        <v>0</v>
      </c>
      <c r="F14" s="3">
        <f t="shared" si="9"/>
        <v>0</v>
      </c>
      <c r="G14" s="3">
        <f t="shared" ref="G14:N14" si="18">+G31/2</f>
        <v>0</v>
      </c>
      <c r="H14" s="3">
        <f t="shared" si="18"/>
        <v>0</v>
      </c>
      <c r="I14" s="3">
        <f t="shared" si="18"/>
        <v>250</v>
      </c>
      <c r="J14" s="3">
        <f t="shared" si="18"/>
        <v>-250</v>
      </c>
      <c r="K14" s="3">
        <f t="shared" si="18"/>
        <v>0</v>
      </c>
      <c r="L14" s="3">
        <f t="shared" si="18"/>
        <v>0</v>
      </c>
      <c r="M14" s="3">
        <f t="shared" si="18"/>
        <v>0</v>
      </c>
      <c r="N14" s="3">
        <f t="shared" si="18"/>
        <v>0</v>
      </c>
      <c r="O14" s="3">
        <f t="shared" si="11"/>
        <v>0</v>
      </c>
      <c r="P14" s="3">
        <f t="shared" si="11"/>
        <v>0</v>
      </c>
      <c r="Q14" s="121">
        <f t="shared" si="12"/>
        <v>0</v>
      </c>
      <c r="R14" s="121">
        <f t="shared" si="12"/>
        <v>0</v>
      </c>
      <c r="S14" s="121">
        <f t="shared" si="12"/>
        <v>0</v>
      </c>
      <c r="T14" s="121">
        <f t="shared" si="12"/>
        <v>0</v>
      </c>
      <c r="U14" s="121">
        <f t="shared" si="12"/>
        <v>0</v>
      </c>
      <c r="V14" s="121">
        <f t="shared" si="13"/>
        <v>0</v>
      </c>
      <c r="W14" s="121">
        <f t="shared" si="13"/>
        <v>0</v>
      </c>
      <c r="X14" s="121">
        <f t="shared" si="13"/>
        <v>0</v>
      </c>
      <c r="Y14" s="121">
        <f t="shared" si="14"/>
        <v>0</v>
      </c>
      <c r="Z14" s="121">
        <f t="shared" si="14"/>
        <v>0</v>
      </c>
      <c r="AA14" s="121">
        <f t="shared" si="15"/>
        <v>0</v>
      </c>
      <c r="AB14" s="344">
        <f t="shared" si="15"/>
        <v>0</v>
      </c>
      <c r="AC14" s="79">
        <f t="shared" si="16"/>
        <v>0</v>
      </c>
      <c r="AD14" s="79">
        <f t="shared" si="16"/>
        <v>0</v>
      </c>
      <c r="AE14" s="79">
        <f t="shared" ref="AE14:AF14" si="19">+AE31/2</f>
        <v>0</v>
      </c>
      <c r="AF14" s="240">
        <f t="shared" si="19"/>
        <v>0</v>
      </c>
    </row>
    <row r="15" spans="1:32" s="121" customFormat="1" x14ac:dyDescent="0.2">
      <c r="A15" s="3" t="s">
        <v>247</v>
      </c>
      <c r="B15" s="3" t="s">
        <v>238</v>
      </c>
      <c r="C15" s="3">
        <f>+C32/2</f>
        <v>0</v>
      </c>
      <c r="D15" s="3">
        <f>+D32/2</f>
        <v>0</v>
      </c>
      <c r="E15" s="3">
        <f>+E32/2</f>
        <v>0</v>
      </c>
      <c r="F15" s="3">
        <f>+F32/2</f>
        <v>0</v>
      </c>
      <c r="G15" s="3">
        <f t="shared" ref="G15:N15" si="20">+G32/2</f>
        <v>0</v>
      </c>
      <c r="H15" s="3">
        <f t="shared" si="20"/>
        <v>0</v>
      </c>
      <c r="I15" s="3">
        <f t="shared" si="20"/>
        <v>-379</v>
      </c>
      <c r="J15" s="3">
        <f t="shared" si="20"/>
        <v>-756.5</v>
      </c>
      <c r="K15" s="3">
        <f t="shared" si="20"/>
        <v>0</v>
      </c>
      <c r="L15" s="3">
        <f t="shared" si="20"/>
        <v>0</v>
      </c>
      <c r="M15" s="3">
        <f t="shared" si="20"/>
        <v>0</v>
      </c>
      <c r="N15" s="3">
        <f t="shared" si="20"/>
        <v>-2259.5</v>
      </c>
      <c r="O15" s="3">
        <f t="shared" si="11"/>
        <v>0</v>
      </c>
      <c r="P15" s="3">
        <f t="shared" si="11"/>
        <v>0</v>
      </c>
      <c r="Q15" s="121">
        <f>+Q32/2</f>
        <v>0</v>
      </c>
      <c r="R15" s="121">
        <f>+R32/2</f>
        <v>0</v>
      </c>
      <c r="S15" s="121">
        <f>+S32/2</f>
        <v>0</v>
      </c>
      <c r="T15" s="121">
        <f>+T32/2</f>
        <v>0</v>
      </c>
      <c r="U15" s="121">
        <f>+U32/2</f>
        <v>0</v>
      </c>
      <c r="V15" s="121">
        <f t="shared" si="13"/>
        <v>0</v>
      </c>
      <c r="W15" s="121">
        <f t="shared" si="13"/>
        <v>0</v>
      </c>
      <c r="X15" s="121">
        <f t="shared" si="13"/>
        <v>0</v>
      </c>
      <c r="Y15" s="121">
        <f t="shared" si="14"/>
        <v>0</v>
      </c>
      <c r="Z15" s="121">
        <f t="shared" si="14"/>
        <v>0</v>
      </c>
      <c r="AA15" s="121">
        <f t="shared" si="15"/>
        <v>0</v>
      </c>
      <c r="AB15" s="344">
        <f t="shared" si="15"/>
        <v>0</v>
      </c>
      <c r="AC15" s="79">
        <f t="shared" si="16"/>
        <v>0</v>
      </c>
      <c r="AD15" s="79">
        <f t="shared" si="16"/>
        <v>0</v>
      </c>
      <c r="AE15" s="79">
        <f t="shared" ref="AE15:AF15" si="21">+AE32/2</f>
        <v>0</v>
      </c>
      <c r="AF15" s="240">
        <f t="shared" si="21"/>
        <v>0</v>
      </c>
    </row>
    <row r="16" spans="1:32" s="121" customFormat="1" x14ac:dyDescent="0.2">
      <c r="A16" s="3" t="s">
        <v>246</v>
      </c>
      <c r="B16" s="3" t="s">
        <v>239</v>
      </c>
      <c r="C16" s="3">
        <f>'initial ufl'!C10*-1</f>
        <v>0</v>
      </c>
      <c r="D16" s="3">
        <f>'initial ufl'!D10*-1</f>
        <v>0</v>
      </c>
      <c r="E16" s="3">
        <f>'initial ufl'!E10*-1</f>
        <v>0</v>
      </c>
      <c r="F16" s="3">
        <f>'initial ufl'!F10*-1</f>
        <v>-174</v>
      </c>
      <c r="G16" s="3">
        <f>'initial ufl'!G10*-1</f>
        <v>-174</v>
      </c>
      <c r="H16" s="3">
        <f>'initial ufl'!H10*-1</f>
        <v>-174</v>
      </c>
      <c r="I16" s="3">
        <f>'initial ufl'!I10*-1</f>
        <v>-174</v>
      </c>
      <c r="J16" s="3">
        <f>'initial ufl'!J10*-1</f>
        <v>-174</v>
      </c>
      <c r="K16" s="3">
        <f>'initial ufl'!K10*-1</f>
        <v>-174</v>
      </c>
      <c r="L16" s="3">
        <f>'initial ufl'!L10*-1</f>
        <v>-174</v>
      </c>
      <c r="M16" s="3">
        <f>'initial ufl'!M10*-1</f>
        <v>-174</v>
      </c>
      <c r="N16" s="3">
        <f>'initial ufl'!N10*-1</f>
        <v>-174</v>
      </c>
      <c r="O16" s="3">
        <f>'initial ufl'!O10*-1</f>
        <v>-174</v>
      </c>
      <c r="P16" s="3">
        <f>'initial ufl'!P10*-1</f>
        <v>-174</v>
      </c>
      <c r="Q16" s="121">
        <f>'initial ufl'!Q10*-1</f>
        <v>-174</v>
      </c>
      <c r="R16" s="121">
        <f>'initial ufl'!R10*-1</f>
        <v>-174</v>
      </c>
      <c r="S16" s="121">
        <f>'initial ufl'!S10*-1</f>
        <v>-176</v>
      </c>
      <c r="T16" s="121">
        <f>'initial ufl'!T10*-1</f>
        <v>0</v>
      </c>
      <c r="U16" s="121">
        <f>'initial ufl'!U10*-1</f>
        <v>0</v>
      </c>
      <c r="V16" s="121">
        <f>'initial ufl'!V10*-1</f>
        <v>0</v>
      </c>
      <c r="W16" s="121">
        <f>'initial ufl'!W10*-1</f>
        <v>0</v>
      </c>
      <c r="X16" s="121">
        <f>'initial ufl'!X10*-1</f>
        <v>0</v>
      </c>
      <c r="Y16" s="121">
        <f>'initial ufl'!Y10*-1</f>
        <v>0</v>
      </c>
      <c r="Z16" s="121">
        <f>'initial ufl'!Z10*-1</f>
        <v>0</v>
      </c>
      <c r="AA16" s="121">
        <f>'initial ufl'!AA10*-1</f>
        <v>0</v>
      </c>
      <c r="AB16" s="344">
        <f>'initial ufl'!AB10*-1</f>
        <v>0</v>
      </c>
      <c r="AC16" s="79">
        <f>'initial ufl'!AC10*-1</f>
        <v>0</v>
      </c>
      <c r="AD16" s="79">
        <f>'initial ufl'!AD10*-1</f>
        <v>0</v>
      </c>
      <c r="AE16" s="79">
        <f>'initial ufl'!AE10*-1</f>
        <v>0</v>
      </c>
      <c r="AF16" s="240">
        <f>'initial ufl'!AF10*-1</f>
        <v>0</v>
      </c>
    </row>
    <row r="17" spans="1:32" s="121" customFormat="1" x14ac:dyDescent="0.2">
      <c r="A17" s="157" t="s">
        <v>342</v>
      </c>
      <c r="B17" s="157" t="s">
        <v>238</v>
      </c>
      <c r="C17" s="157"/>
      <c r="D17" s="157"/>
      <c r="E17" s="157"/>
      <c r="F17" s="157"/>
      <c r="G17" s="157"/>
      <c r="H17" s="157"/>
      <c r="I17" s="157"/>
      <c r="J17" s="157"/>
      <c r="K17" s="157"/>
      <c r="L17" s="157"/>
      <c r="M17" s="157"/>
      <c r="N17" s="157"/>
      <c r="O17" s="157"/>
      <c r="P17" s="157"/>
      <c r="Q17" s="157"/>
      <c r="R17" s="157"/>
      <c r="S17" s="157">
        <f t="shared" ref="S17:X17" si="22">S34/2</f>
        <v>-5.5147058823529411</v>
      </c>
      <c r="T17" s="121">
        <f t="shared" si="22"/>
        <v>-5.5147058823529411</v>
      </c>
      <c r="U17" s="121">
        <f t="shared" si="22"/>
        <v>-5.5147058823529411</v>
      </c>
      <c r="V17" s="121">
        <f t="shared" si="22"/>
        <v>-5.5147058823529411</v>
      </c>
      <c r="W17" s="121">
        <f t="shared" si="22"/>
        <v>-5.5147058823529411</v>
      </c>
      <c r="X17" s="121">
        <f t="shared" si="22"/>
        <v>-5.5147058823529411</v>
      </c>
      <c r="Y17" s="121">
        <f t="shared" ref="Y17:AD17" si="23">Y34/2</f>
        <v>-5.5147058823529411</v>
      </c>
      <c r="Z17" s="121">
        <f t="shared" si="23"/>
        <v>-5.5147058823529411</v>
      </c>
      <c r="AA17" s="121">
        <f t="shared" si="23"/>
        <v>-5.5147058823529411</v>
      </c>
      <c r="AB17" s="344">
        <f t="shared" si="23"/>
        <v>-5.5147058823529411</v>
      </c>
      <c r="AC17" s="79">
        <f t="shared" si="23"/>
        <v>-5.0147058823529411</v>
      </c>
      <c r="AD17" s="79">
        <f t="shared" si="23"/>
        <v>-5.0147058823529411</v>
      </c>
      <c r="AE17" s="79">
        <f t="shared" ref="AE17:AF17" si="24">AE34/2</f>
        <v>-5.0147058823529411</v>
      </c>
      <c r="AF17" s="240">
        <f t="shared" si="24"/>
        <v>-5.0147058823529411</v>
      </c>
    </row>
    <row r="18" spans="1:32" s="121" customFormat="1" x14ac:dyDescent="0.2">
      <c r="A18" s="3" t="s">
        <v>237</v>
      </c>
      <c r="B18" s="3" t="s">
        <v>240</v>
      </c>
      <c r="C18" s="24" t="s">
        <v>12</v>
      </c>
      <c r="D18" s="24" t="s">
        <v>12</v>
      </c>
      <c r="E18" s="24" t="s">
        <v>12</v>
      </c>
      <c r="F18" s="6">
        <f>contributions!C47</f>
        <v>-10</v>
      </c>
      <c r="G18" s="6">
        <f>contributions!D47</f>
        <v>-16</v>
      </c>
      <c r="H18" s="6">
        <f>contributions!E47</f>
        <v>-13</v>
      </c>
      <c r="I18" s="6">
        <f>contributions!F47</f>
        <v>-1</v>
      </c>
      <c r="J18" s="6">
        <f>contributions!G47</f>
        <v>18</v>
      </c>
      <c r="K18" s="6">
        <f>contributions!H47</f>
        <v>36</v>
      </c>
      <c r="L18" s="6">
        <f>contributions!I47</f>
        <v>39</v>
      </c>
      <c r="M18" s="6">
        <f>contributions!J47</f>
        <v>40</v>
      </c>
      <c r="N18" s="6">
        <f>contributions!K47</f>
        <v>43</v>
      </c>
      <c r="O18" s="6">
        <f>contributions!L47</f>
        <v>44</v>
      </c>
      <c r="P18" s="6">
        <f>contributions!M47</f>
        <v>42</v>
      </c>
      <c r="Q18" s="125">
        <f>contributions!N47</f>
        <v>40</v>
      </c>
      <c r="R18" s="125">
        <f>contributions!O47</f>
        <v>39</v>
      </c>
      <c r="S18" s="125">
        <f>contributions!P47</f>
        <v>36</v>
      </c>
      <c r="T18" s="125">
        <f>contributions!Q47</f>
        <v>44</v>
      </c>
      <c r="U18" s="125">
        <f>contributions!R47</f>
        <v>40</v>
      </c>
      <c r="V18" s="125">
        <f>contributions!S47</f>
        <v>36</v>
      </c>
      <c r="W18" s="125">
        <f>contributions!T47</f>
        <v>2</v>
      </c>
      <c r="X18" s="125">
        <f>contributions!U47</f>
        <v>-18</v>
      </c>
      <c r="Y18" s="125">
        <f>contributions!V47</f>
        <v>-20</v>
      </c>
      <c r="Z18" s="125">
        <f>contributions!W47</f>
        <v>-24</v>
      </c>
      <c r="AA18" s="125">
        <f>contributions!X47</f>
        <v>-25</v>
      </c>
      <c r="AB18" s="345">
        <f>contributions!Y47</f>
        <v>-27</v>
      </c>
      <c r="AC18" s="81">
        <f>contributions!Z47</f>
        <v>-30</v>
      </c>
      <c r="AD18" s="81">
        <f>contributions!AA47</f>
        <v>-29.526283531938638</v>
      </c>
      <c r="AE18" s="81">
        <f>contributions!AB47</f>
        <v>-31.073229998744214</v>
      </c>
      <c r="AF18" s="241">
        <f>contributions!AC47</f>
        <v>-31.638746497631519</v>
      </c>
    </row>
    <row r="19" spans="1:32" s="215" customFormat="1" ht="15.75" x14ac:dyDescent="0.25">
      <c r="A19" s="52" t="s">
        <v>497</v>
      </c>
      <c r="B19" s="9" t="s">
        <v>241</v>
      </c>
      <c r="C19" s="587">
        <f>SUM(C10:C18)</f>
        <v>632.3175</v>
      </c>
      <c r="D19" s="587">
        <f>SUM(D10:D18)</f>
        <v>744.21499999999992</v>
      </c>
      <c r="E19" s="587">
        <f>SUM(E10:E18)</f>
        <v>678.99624999999992</v>
      </c>
      <c r="F19" s="587">
        <f>SUM(F10:F18)</f>
        <v>399.046875</v>
      </c>
      <c r="G19" s="587">
        <f t="shared" ref="G19:N19" si="25">SUM(G10:G18)</f>
        <v>490.89374999999995</v>
      </c>
      <c r="H19" s="587">
        <f t="shared" si="25"/>
        <v>496.19374999999991</v>
      </c>
      <c r="I19" s="587">
        <f t="shared" si="25"/>
        <v>374.83750000000009</v>
      </c>
      <c r="J19" s="587">
        <f t="shared" si="25"/>
        <v>244.24437499999999</v>
      </c>
      <c r="K19" s="587">
        <f t="shared" si="25"/>
        <v>126.07124999999996</v>
      </c>
      <c r="L19" s="587">
        <f t="shared" si="25"/>
        <v>-157.8587500000001</v>
      </c>
      <c r="M19" s="587">
        <f t="shared" si="25"/>
        <v>-404.9224999999999</v>
      </c>
      <c r="N19" s="587">
        <f t="shared" si="25"/>
        <v>29.139999999999873</v>
      </c>
      <c r="O19" s="587">
        <f t="shared" ref="O19:AD19" si="26">SUM(O10:O18)</f>
        <v>221.36000000000013</v>
      </c>
      <c r="P19" s="587">
        <f t="shared" si="26"/>
        <v>241.41999999999962</v>
      </c>
      <c r="Q19" s="588">
        <f t="shared" si="26"/>
        <v>250.38749999999982</v>
      </c>
      <c r="R19" s="588">
        <f t="shared" si="26"/>
        <v>305.27499999999964</v>
      </c>
      <c r="S19" s="588">
        <f t="shared" si="26"/>
        <v>359.26029411764716</v>
      </c>
      <c r="T19" s="588">
        <f t="shared" si="26"/>
        <v>353.81091911764702</v>
      </c>
      <c r="U19" s="588">
        <f t="shared" si="26"/>
        <v>59.572794117647149</v>
      </c>
      <c r="V19" s="588">
        <f t="shared" si="26"/>
        <v>265.82806261764733</v>
      </c>
      <c r="W19" s="588">
        <f t="shared" si="26"/>
        <v>523.01225640336088</v>
      </c>
      <c r="X19" s="588">
        <f t="shared" si="26"/>
        <v>519.14136111764719</v>
      </c>
      <c r="Y19" s="588">
        <f t="shared" si="26"/>
        <v>892.03170120023663</v>
      </c>
      <c r="Z19" s="588">
        <f t="shared" si="26"/>
        <v>874.98819411764703</v>
      </c>
      <c r="AA19" s="588">
        <f t="shared" si="26"/>
        <v>568.81817061764684</v>
      </c>
      <c r="AB19" s="590">
        <f t="shared" si="26"/>
        <v>118.32404411764651</v>
      </c>
      <c r="AC19" s="593">
        <f t="shared" si="26"/>
        <v>-459.36863090785755</v>
      </c>
      <c r="AD19" s="593">
        <f t="shared" si="26"/>
        <v>-825.65879900649043</v>
      </c>
      <c r="AE19" s="593">
        <f t="shared" ref="AE19:AF19" si="27">SUM(AE10:AE18)</f>
        <v>-1116.7412651971297</v>
      </c>
      <c r="AF19" s="594">
        <f t="shared" si="27"/>
        <v>-1358.3618446496812</v>
      </c>
    </row>
    <row r="20" spans="1:32" s="215" customFormat="1" ht="15.75" x14ac:dyDescent="0.25">
      <c r="A20" s="52" t="s">
        <v>478</v>
      </c>
      <c r="B20" s="296" t="s">
        <v>500</v>
      </c>
      <c r="C20" s="71"/>
      <c r="D20" s="71"/>
      <c r="E20" s="71"/>
      <c r="F20" s="71"/>
      <c r="G20" s="71">
        <f>'Valuation Allowance'!G41</f>
        <v>0</v>
      </c>
      <c r="H20" s="71">
        <f>'Valuation Allowance'!H41</f>
        <v>0</v>
      </c>
      <c r="I20" s="71">
        <f>'Valuation Allowance'!I41</f>
        <v>0</v>
      </c>
      <c r="J20" s="71">
        <f>'Valuation Allowance'!J41</f>
        <v>0</v>
      </c>
      <c r="K20" s="71">
        <f>'Valuation Allowance'!K41</f>
        <v>0</v>
      </c>
      <c r="L20" s="71">
        <f>'Valuation Allowance'!L41</f>
        <v>0</v>
      </c>
      <c r="M20" s="71">
        <f>'Valuation Allowance'!M41</f>
        <v>0</v>
      </c>
      <c r="N20" s="71">
        <f>'Valuation Allowance'!N41</f>
        <v>336.35936999999967</v>
      </c>
      <c r="O20" s="71">
        <f>'Valuation Allowance'!O41</f>
        <v>-336.35936999999967</v>
      </c>
      <c r="P20" s="71">
        <f>'Valuation Allowance'!P41</f>
        <v>1233.2653710000009</v>
      </c>
      <c r="Q20" s="71">
        <f>'Valuation Allowance'!Q41</f>
        <v>457.75613400000157</v>
      </c>
      <c r="R20" s="71">
        <f>'Valuation Allowance'!R41</f>
        <v>434.93453299999555</v>
      </c>
      <c r="S20" s="71">
        <f>'Valuation Allowance'!S41</f>
        <v>435.85659488235297</v>
      </c>
      <c r="T20" s="71">
        <f>'Valuation Allowance'!T41</f>
        <v>454.40374988235726</v>
      </c>
      <c r="U20" s="71">
        <f>'Valuation Allowance'!U41</f>
        <v>-3016.2163827647082</v>
      </c>
      <c r="V20" s="71">
        <f>'Valuation Allowance'!V41</f>
        <v>0</v>
      </c>
      <c r="W20" s="71">
        <f>'Valuation Allowance'!W41</f>
        <v>3243.1029703403319</v>
      </c>
      <c r="X20" s="71">
        <f>'Valuation Allowance'!X41</f>
        <v>2438.759971382352</v>
      </c>
      <c r="Y20" s="71">
        <f>'Valuation Allowance'!Y41</f>
        <v>1441.9692125854863</v>
      </c>
      <c r="Z20" s="71">
        <f>'Valuation Allowance'!Z41</f>
        <v>586.76775488235489</v>
      </c>
      <c r="AA20" s="71">
        <f>'Valuation Allowance'!AA41</f>
        <v>956.48250038234437</v>
      </c>
      <c r="AB20" s="71">
        <f>'Valuation Allowance'!AB41</f>
        <v>1479.9140431823471</v>
      </c>
      <c r="AC20" s="71">
        <f>'Valuation Allowance'!AC41</f>
        <v>2123.5449559234439</v>
      </c>
      <c r="AD20" s="71">
        <f>'Valuation Allowance'!AD41</f>
        <v>2558.2912420402645</v>
      </c>
      <c r="AE20" s="71">
        <f>'Valuation Allowance'!AE41</f>
        <v>2910.8960580798066</v>
      </c>
      <c r="AF20" s="71">
        <f>'Valuation Allowance'!AF41</f>
        <v>3216.1709591734725</v>
      </c>
    </row>
    <row r="21" spans="1:32" s="576" customFormat="1" ht="18.75" thickBot="1" x14ac:dyDescent="0.3">
      <c r="A21" s="575" t="s">
        <v>498</v>
      </c>
      <c r="B21" s="9" t="s">
        <v>241</v>
      </c>
      <c r="C21" s="595">
        <f t="shared" ref="C21:F21" si="28">C19+C20</f>
        <v>632.3175</v>
      </c>
      <c r="D21" s="595">
        <f t="shared" si="28"/>
        <v>744.21499999999992</v>
      </c>
      <c r="E21" s="595">
        <f t="shared" si="28"/>
        <v>678.99624999999992</v>
      </c>
      <c r="F21" s="595">
        <f t="shared" si="28"/>
        <v>399.046875</v>
      </c>
      <c r="G21" s="595">
        <f>G19+G20</f>
        <v>490.89374999999995</v>
      </c>
      <c r="H21" s="595">
        <f t="shared" ref="H21:AF21" si="29">H19+H20</f>
        <v>496.19374999999991</v>
      </c>
      <c r="I21" s="595">
        <f t="shared" si="29"/>
        <v>374.83750000000009</v>
      </c>
      <c r="J21" s="595">
        <f t="shared" si="29"/>
        <v>244.24437499999999</v>
      </c>
      <c r="K21" s="595">
        <f t="shared" si="29"/>
        <v>126.07124999999996</v>
      </c>
      <c r="L21" s="595">
        <f t="shared" si="29"/>
        <v>-157.8587500000001</v>
      </c>
      <c r="M21" s="595">
        <f t="shared" si="29"/>
        <v>-404.9224999999999</v>
      </c>
      <c r="N21" s="595">
        <f t="shared" si="29"/>
        <v>365.49936999999954</v>
      </c>
      <c r="O21" s="595">
        <f t="shared" si="29"/>
        <v>-114.99936999999954</v>
      </c>
      <c r="P21" s="595">
        <f t="shared" si="29"/>
        <v>1474.6853710000005</v>
      </c>
      <c r="Q21" s="595">
        <f t="shared" si="29"/>
        <v>708.14363400000138</v>
      </c>
      <c r="R21" s="595">
        <f t="shared" si="29"/>
        <v>740.20953299999519</v>
      </c>
      <c r="S21" s="595">
        <f t="shared" si="29"/>
        <v>795.11688900000013</v>
      </c>
      <c r="T21" s="595">
        <f t="shared" si="29"/>
        <v>808.21466900000428</v>
      </c>
      <c r="U21" s="595">
        <f t="shared" si="29"/>
        <v>-2956.6435886470613</v>
      </c>
      <c r="V21" s="595">
        <f t="shared" si="29"/>
        <v>265.82806261764733</v>
      </c>
      <c r="W21" s="595">
        <f t="shared" si="29"/>
        <v>3766.1152267436928</v>
      </c>
      <c r="X21" s="595">
        <f t="shared" si="29"/>
        <v>2957.9013324999992</v>
      </c>
      <c r="Y21" s="595">
        <f t="shared" si="29"/>
        <v>2334.0009137857228</v>
      </c>
      <c r="Z21" s="595">
        <f t="shared" si="29"/>
        <v>1461.7559490000019</v>
      </c>
      <c r="AA21" s="595">
        <f t="shared" si="29"/>
        <v>1525.3006709999913</v>
      </c>
      <c r="AB21" s="595">
        <f t="shared" si="29"/>
        <v>1598.2380872999936</v>
      </c>
      <c r="AC21" s="595">
        <f t="shared" si="29"/>
        <v>1664.1763250155864</v>
      </c>
      <c r="AD21" s="595">
        <f t="shared" si="29"/>
        <v>1732.6324430337741</v>
      </c>
      <c r="AE21" s="595">
        <f t="shared" si="29"/>
        <v>1794.1547928826769</v>
      </c>
      <c r="AF21" s="595">
        <f t="shared" si="29"/>
        <v>1857.8091145237913</v>
      </c>
    </row>
    <row r="22" spans="1:32" s="121" customFormat="1" ht="13.5" thickTop="1" x14ac:dyDescent="0.2">
      <c r="A22" s="3"/>
      <c r="B22" s="3"/>
      <c r="C22" s="3"/>
      <c r="D22" s="3"/>
      <c r="E22" s="3"/>
      <c r="F22" s="3"/>
      <c r="G22" s="3"/>
      <c r="H22" s="3"/>
      <c r="I22" s="3"/>
      <c r="J22" s="3"/>
      <c r="K22" s="3"/>
      <c r="L22" s="3"/>
      <c r="M22" s="3"/>
      <c r="N22" s="3" t="s">
        <v>307</v>
      </c>
      <c r="O22" s="3">
        <f>O19*1000000</f>
        <v>221360000.00000012</v>
      </c>
      <c r="P22" s="3">
        <f t="shared" ref="P22:AB22" si="30">P19*1000000</f>
        <v>241419999.99999961</v>
      </c>
      <c r="Q22" s="3">
        <f t="shared" si="30"/>
        <v>250387499.99999982</v>
      </c>
      <c r="R22" s="3">
        <f t="shared" si="30"/>
        <v>305274999.99999964</v>
      </c>
      <c r="S22" s="3">
        <f t="shared" si="30"/>
        <v>359260294.11764717</v>
      </c>
      <c r="T22" s="3">
        <f t="shared" si="30"/>
        <v>353810919.11764699</v>
      </c>
      <c r="U22" s="121">
        <f t="shared" si="30"/>
        <v>59572794.117647149</v>
      </c>
      <c r="V22" s="121">
        <f t="shared" si="30"/>
        <v>265828062.61764732</v>
      </c>
      <c r="W22" s="121">
        <f t="shared" si="30"/>
        <v>523012256.4033609</v>
      </c>
      <c r="X22" s="121">
        <f t="shared" si="30"/>
        <v>519141361.11764717</v>
      </c>
      <c r="Y22" s="121">
        <f t="shared" si="30"/>
        <v>892031701.20023668</v>
      </c>
      <c r="Z22" s="121">
        <f t="shared" si="30"/>
        <v>874988194.11764705</v>
      </c>
      <c r="AA22" s="121">
        <f t="shared" si="30"/>
        <v>568818170.61764681</v>
      </c>
      <c r="AB22" s="491">
        <f t="shared" si="30"/>
        <v>118324044.11764652</v>
      </c>
      <c r="AC22" s="79"/>
      <c r="AD22" s="79"/>
      <c r="AE22" s="79"/>
      <c r="AF22" s="240"/>
    </row>
    <row r="23" spans="1:32" s="121" customFormat="1" x14ac:dyDescent="0.2">
      <c r="A23" s="3"/>
      <c r="B23" s="3"/>
      <c r="C23" s="3"/>
      <c r="D23" s="3"/>
      <c r="E23" s="3"/>
      <c r="F23" s="3"/>
      <c r="G23" s="3"/>
      <c r="H23" s="3"/>
      <c r="I23" s="3"/>
      <c r="J23" s="3"/>
      <c r="K23" s="3"/>
      <c r="L23" s="3"/>
      <c r="M23" s="3"/>
      <c r="N23" s="3"/>
      <c r="O23" s="577">
        <f>O21*1000000</f>
        <v>-114999369.99999954</v>
      </c>
      <c r="P23" s="577">
        <f t="shared" ref="P23:AF23" si="31">P21*1000000</f>
        <v>1474685371.0000005</v>
      </c>
      <c r="Q23" s="577">
        <f t="shared" si="31"/>
        <v>708143634.00000143</v>
      </c>
      <c r="R23" s="577">
        <f t="shared" si="31"/>
        <v>740209532.99999523</v>
      </c>
      <c r="S23" s="577">
        <f t="shared" si="31"/>
        <v>795116889.00000012</v>
      </c>
      <c r="T23" s="577">
        <f t="shared" si="31"/>
        <v>808214669.00000429</v>
      </c>
      <c r="U23" s="577">
        <f t="shared" si="31"/>
        <v>-2956643588.6470613</v>
      </c>
      <c r="V23" s="577">
        <f t="shared" si="31"/>
        <v>265828062.61764732</v>
      </c>
      <c r="W23" s="577">
        <f t="shared" si="31"/>
        <v>3766115226.7436929</v>
      </c>
      <c r="X23" s="577">
        <f t="shared" si="31"/>
        <v>2957901332.499999</v>
      </c>
      <c r="Y23" s="577">
        <f t="shared" si="31"/>
        <v>2334000913.7857227</v>
      </c>
      <c r="Z23" s="577">
        <f t="shared" si="31"/>
        <v>1461755949.0000019</v>
      </c>
      <c r="AA23" s="577">
        <f t="shared" si="31"/>
        <v>1525300670.9999914</v>
      </c>
      <c r="AB23" s="577">
        <f t="shared" si="31"/>
        <v>1598238087.2999935</v>
      </c>
      <c r="AC23" s="577">
        <f t="shared" si="31"/>
        <v>1664176325.0155864</v>
      </c>
      <c r="AD23" s="577">
        <f t="shared" si="31"/>
        <v>1732632443.0337741</v>
      </c>
      <c r="AE23" s="577">
        <f t="shared" si="31"/>
        <v>1794154792.8826768</v>
      </c>
      <c r="AF23" s="577">
        <f t="shared" si="31"/>
        <v>1857809114.5237913</v>
      </c>
    </row>
    <row r="24" spans="1:32" s="121" customFormat="1" x14ac:dyDescent="0.2">
      <c r="A24" s="53" t="s">
        <v>242</v>
      </c>
      <c r="B24" s="3"/>
      <c r="C24" s="3"/>
      <c r="D24" s="3"/>
      <c r="E24" s="3"/>
      <c r="F24" s="3"/>
      <c r="G24" s="3"/>
      <c r="H24" s="3"/>
      <c r="I24" s="3"/>
      <c r="J24" s="3"/>
      <c r="K24" s="3"/>
      <c r="L24" s="3"/>
      <c r="M24" s="3"/>
      <c r="N24" s="3"/>
      <c r="O24" s="3"/>
      <c r="P24" s="3"/>
      <c r="AB24" s="344"/>
      <c r="AC24" s="79"/>
      <c r="AD24" s="79"/>
      <c r="AE24" s="79"/>
      <c r="AF24" s="240"/>
    </row>
    <row r="25" spans="1:32" s="121" customFormat="1" x14ac:dyDescent="0.2">
      <c r="A25" s="3"/>
      <c r="B25" s="3"/>
      <c r="C25" s="3"/>
      <c r="D25" s="3"/>
      <c r="E25" s="3"/>
      <c r="F25" s="3"/>
      <c r="G25" s="3"/>
      <c r="H25" s="3"/>
      <c r="I25" s="3"/>
      <c r="J25" s="3"/>
      <c r="K25" s="3"/>
      <c r="L25" s="3"/>
      <c r="M25" s="3"/>
      <c r="N25" s="3"/>
      <c r="O25" s="3"/>
      <c r="P25" s="3"/>
      <c r="AB25" s="344"/>
      <c r="AC25" s="79"/>
      <c r="AD25" s="79"/>
      <c r="AE25" s="79"/>
      <c r="AF25" s="240"/>
    </row>
    <row r="26" spans="1:32" s="121" customFormat="1" x14ac:dyDescent="0.2">
      <c r="A26" s="3" t="s">
        <v>218</v>
      </c>
      <c r="B26" s="3" t="s">
        <v>201</v>
      </c>
      <c r="C26" s="45">
        <f>'Data Input'!D14</f>
        <v>930</v>
      </c>
      <c r="D26" s="45">
        <f>'Data Input'!E14</f>
        <v>1180</v>
      </c>
      <c r="E26" s="45">
        <f>'Data Input'!F14</f>
        <v>1188</v>
      </c>
      <c r="F26" s="45">
        <f>'Data Input'!G14</f>
        <v>1170</v>
      </c>
      <c r="G26" s="45">
        <f>'Data Input'!H14</f>
        <v>1292</v>
      </c>
      <c r="H26" s="45">
        <f>'Data Input'!I14</f>
        <v>1363</v>
      </c>
      <c r="I26" s="45">
        <f>'Data Input'!J14</f>
        <v>1337</v>
      </c>
      <c r="J26" s="45">
        <f>'Data Input'!K14</f>
        <v>1204</v>
      </c>
      <c r="K26" s="45">
        <f>'Data Input'!L14</f>
        <v>1305</v>
      </c>
      <c r="L26" s="45">
        <f>'Data Input'!M14</f>
        <v>1301</v>
      </c>
      <c r="M26" s="45">
        <f>'Data Input'!N14</f>
        <v>1300</v>
      </c>
      <c r="N26" s="45">
        <f>'Data Input'!O14</f>
        <v>1539</v>
      </c>
      <c r="O26" s="45">
        <f>'Data Input'!P14</f>
        <v>1695</v>
      </c>
      <c r="P26" s="45">
        <f>'Data Input'!Q14</f>
        <v>1735</v>
      </c>
      <c r="Q26" s="127">
        <f>'Data Input'!R14</f>
        <v>1756</v>
      </c>
      <c r="R26" s="127">
        <f>'Data Input'!S14</f>
        <v>1909</v>
      </c>
      <c r="S26" s="127">
        <f>'Data Input'!T14</f>
        <v>1995</v>
      </c>
      <c r="T26" s="127">
        <f>'Data Input'!U14</f>
        <v>2102</v>
      </c>
      <c r="U26" s="127">
        <f>'Data Input'!V14</f>
        <v>2236</v>
      </c>
      <c r="V26" s="127">
        <f>'Data Input'!W14</f>
        <v>2349</v>
      </c>
      <c r="W26" s="127">
        <f>'Data Input'!X14</f>
        <v>2434</v>
      </c>
      <c r="X26" s="127">
        <f>'Data Input'!Y14</f>
        <v>2565</v>
      </c>
      <c r="Y26" s="127">
        <f>'Data Input'!Z14</f>
        <v>2791</v>
      </c>
      <c r="Z26" s="127">
        <f>'Data Input'!AA14</f>
        <v>2654</v>
      </c>
      <c r="AA26" s="127">
        <f>'Data Input'!AB14</f>
        <v>2924</v>
      </c>
      <c r="AB26" s="366">
        <f>'Data Input'!AC14</f>
        <v>2902</v>
      </c>
      <c r="AC26" s="100">
        <f>'Data Input'!AD14</f>
        <v>3023.59375</v>
      </c>
      <c r="AD26" s="100">
        <f>'Data Input'!AE14</f>
        <v>3262.1026904296868</v>
      </c>
      <c r="AE26" s="100">
        <f>'Data Input'!AF14</f>
        <v>3500.4040891754139</v>
      </c>
      <c r="AF26" s="271">
        <f>'Data Input'!AG14</f>
        <v>3756.0074825188831</v>
      </c>
    </row>
    <row r="27" spans="1:32" s="121" customFormat="1" x14ac:dyDescent="0.2">
      <c r="A27" s="3" t="s">
        <v>225</v>
      </c>
      <c r="B27" s="3" t="s">
        <v>201</v>
      </c>
      <c r="C27" s="3">
        <f>('Data Input'!D32+'Data Input'!D33)*-1</f>
        <v>-534</v>
      </c>
      <c r="D27" s="3">
        <f>('Data Input'!E32+'Data Input'!E33)*-1</f>
        <v>-606</v>
      </c>
      <c r="E27" s="3">
        <f>('Data Input'!F32+'Data Input'!F33)*-1</f>
        <v>-720</v>
      </c>
      <c r="F27" s="3">
        <f>('Data Input'!G32+'Data Input'!G33)*-1</f>
        <v>-698</v>
      </c>
      <c r="G27" s="3">
        <f>('Data Input'!H32+'Data Input'!H33)*-1</f>
        <v>-719</v>
      </c>
      <c r="H27" s="3">
        <f>('Data Input'!I32+'Data Input'!I33)*-1</f>
        <v>-626</v>
      </c>
      <c r="I27" s="3">
        <f>('Data Input'!J32+'Data Input'!J33)*-1</f>
        <v>-619</v>
      </c>
      <c r="J27" s="3">
        <f>('Data Input'!K32+'Data Input'!K33)*-1</f>
        <v>-590</v>
      </c>
      <c r="K27" s="3">
        <f>('Data Input'!L32+'Data Input'!L33)*-1</f>
        <v>-621</v>
      </c>
      <c r="L27" s="3">
        <f>('Data Input'!M32+'Data Input'!M33)*-1</f>
        <v>-629</v>
      </c>
      <c r="M27" s="3">
        <f>('Data Input'!N32+'Data Input'!N33)*-1</f>
        <v>-624</v>
      </c>
      <c r="N27" s="3">
        <f>('Data Input'!O32+'Data Input'!O33)*-1</f>
        <v>-638</v>
      </c>
      <c r="O27" s="3">
        <f>('Data Input'!P32+'Data Input'!P33)*-1</f>
        <v>-675</v>
      </c>
      <c r="P27" s="3">
        <f>('Data Input'!Q32+'Data Input'!Q33)*-1</f>
        <v>-705</v>
      </c>
      <c r="Q27" s="121">
        <f>('Data Input'!R32+'Data Input'!R33)*-1</f>
        <v>-737</v>
      </c>
      <c r="R27" s="121">
        <f>('Data Input'!S32+'Data Input'!S33)*-1</f>
        <v>-784</v>
      </c>
      <c r="S27" s="121">
        <f>('Data Input'!T32+'Data Input'!T33)*-1</f>
        <v>-809</v>
      </c>
      <c r="T27" s="121">
        <f>('Data Input'!U32+'Data Input'!U33)*-1</f>
        <v>-1059</v>
      </c>
      <c r="U27" s="121">
        <f>('Data Input'!V32+'Data Input'!V33)*-1</f>
        <v>-1138</v>
      </c>
      <c r="V27" s="121">
        <f>('Data Input'!W32+'Data Input'!W33)*-1</f>
        <v>-1302</v>
      </c>
      <c r="W27" s="121">
        <f>('Data Input'!X32+'Data Input'!X33)*-1</f>
        <v>-1338.1948571428572</v>
      </c>
      <c r="X27" s="121">
        <f>('Data Input'!Y32+'Data Input'!Y33)*-1</f>
        <v>-1403</v>
      </c>
      <c r="Y27" s="121">
        <f>('Data Input'!Z32+'Data Input'!Z33)*-1</f>
        <v>-1473.7162321428571</v>
      </c>
      <c r="Z27" s="121">
        <f>('Data Input'!AA32+'Data Input'!AA33)*-1</f>
        <v>-1540</v>
      </c>
      <c r="AA27" s="121">
        <f>('Data Input'!AB32+'Data Input'!AB33)*-1</f>
        <v>-1610</v>
      </c>
      <c r="AB27" s="344">
        <f>('Data Input'!AC32+'Data Input'!AC33)*-1</f>
        <v>-1648</v>
      </c>
      <c r="AC27" s="79">
        <f>('Data Input'!AD32+'Data Input'!AD33)*-1</f>
        <v>-1710.8806010928961</v>
      </c>
      <c r="AD27" s="79">
        <f>('Data Input'!AE32+'Data Input'!AE33)*-1</f>
        <v>-1779.9690049180326</v>
      </c>
      <c r="AE27" s="79">
        <f>('Data Input'!AF32+'Data Input'!AF33)*-1</f>
        <v>-1842.0595977486337</v>
      </c>
      <c r="AF27" s="240">
        <f>('Data Input'!AG32+'Data Input'!AG33)*-1</f>
        <v>-1906.3018540446444</v>
      </c>
    </row>
    <row r="28" spans="1:32" s="121" customFormat="1" x14ac:dyDescent="0.2">
      <c r="A28" s="3" t="s">
        <v>219</v>
      </c>
      <c r="B28" s="3" t="s">
        <v>108</v>
      </c>
      <c r="C28" s="23" t="s">
        <v>12</v>
      </c>
      <c r="D28" s="3">
        <f>'experience g(l)'!C87*-1</f>
        <v>-111</v>
      </c>
      <c r="E28" s="3">
        <f>'experience g(l)'!D87*-1</f>
        <v>-61</v>
      </c>
      <c r="F28" s="3">
        <f>'experience g(l)'!E87*-1</f>
        <v>-257</v>
      </c>
      <c r="G28" s="3">
        <f>'experience g(l)'!F87*-1</f>
        <v>-148</v>
      </c>
      <c r="H28" s="3">
        <f>'experience g(l)'!G87*-1</f>
        <v>-293</v>
      </c>
      <c r="I28" s="3">
        <f>'experience g(l)'!H87*-1</f>
        <v>-380</v>
      </c>
      <c r="J28" s="3">
        <f>'experience g(l)'!I87*-1</f>
        <v>-439</v>
      </c>
      <c r="K28" s="3">
        <f>'experience g(l)'!J87*-1</f>
        <v>-651</v>
      </c>
      <c r="L28" s="3">
        <f>'experience g(l)'!K87*-1</f>
        <v>-970</v>
      </c>
      <c r="M28" s="3">
        <f>'experience g(l)'!L87*-1</f>
        <v>-1135</v>
      </c>
      <c r="N28" s="3">
        <f>'experience g(l)'!M87*-1</f>
        <v>-470</v>
      </c>
      <c r="O28" s="3">
        <f>'experience g(l)'!N87*-1</f>
        <v>-493</v>
      </c>
      <c r="P28" s="3">
        <f>'experience g(l)'!O87*-1</f>
        <v>-444</v>
      </c>
      <c r="Q28" s="121">
        <f>'experience g(l)'!P87*-1</f>
        <v>-466</v>
      </c>
      <c r="R28" s="121">
        <f>'experience g(l)'!Q87*-1</f>
        <v>-467</v>
      </c>
      <c r="S28" s="121">
        <f>'experience g(l)'!R87*-1</f>
        <v>-470</v>
      </c>
      <c r="T28" s="121">
        <f>'experience g(l)'!S87*-1</f>
        <v>-710</v>
      </c>
      <c r="U28" s="121">
        <f>'experience g(l)'!T87*-1</f>
        <v>-1113</v>
      </c>
      <c r="V28" s="121">
        <f>'experience g(l)'!U87*-1</f>
        <v>-916</v>
      </c>
      <c r="W28" s="121">
        <f>'experience g(l)'!V87*-1</f>
        <v>-587</v>
      </c>
      <c r="X28" s="121">
        <f>'experience g(l)'!W87*-1</f>
        <v>-490</v>
      </c>
      <c r="Y28" s="121">
        <f>'experience g(l)'!X87*-1</f>
        <v>-181</v>
      </c>
      <c r="Z28" s="121">
        <f>'experience g(l)'!Y87*-1</f>
        <v>70</v>
      </c>
      <c r="AA28" s="121">
        <f>'experience g(l)'!Z87*-1</f>
        <v>-312</v>
      </c>
      <c r="AB28" s="344">
        <f>'experience g(l)'!AA87*-1</f>
        <v>-723</v>
      </c>
      <c r="AC28" s="79">
        <f>'experience g(l)'!AB87*-1</f>
        <v>-1364</v>
      </c>
      <c r="AD28" s="79">
        <f>'experience g(l)'!AC87*-1</f>
        <v>-1759</v>
      </c>
      <c r="AE28" s="79">
        <f>'experience g(l)'!AD87*-1</f>
        <v>-2071</v>
      </c>
      <c r="AF28" s="240">
        <f>'experience g(l)'!AE87*-1</f>
        <v>-2353</v>
      </c>
    </row>
    <row r="29" spans="1:32" s="121" customFormat="1" x14ac:dyDescent="0.2">
      <c r="A29" s="3" t="s">
        <v>221</v>
      </c>
      <c r="B29" s="3" t="s">
        <v>224</v>
      </c>
      <c r="C29" s="3">
        <f>Interest!C29</f>
        <v>334.63499999999999</v>
      </c>
      <c r="D29" s="3">
        <f>Interest!D29</f>
        <v>419.42999999999984</v>
      </c>
      <c r="E29" s="3">
        <f>Interest!E29</f>
        <v>230.99249999999984</v>
      </c>
      <c r="F29" s="3">
        <f>Interest!F29</f>
        <v>253.09375</v>
      </c>
      <c r="G29" s="3">
        <f>Interest!G29</f>
        <v>217.78749999999991</v>
      </c>
      <c r="H29" s="3">
        <f>Interest!H29</f>
        <v>296.38749999999982</v>
      </c>
      <c r="I29" s="3">
        <f>Interest!I29</f>
        <v>142.67500000000018</v>
      </c>
      <c r="J29" s="3">
        <f>Interest!J29</f>
        <v>35.488749999999982</v>
      </c>
      <c r="K29" s="3">
        <f>Interest!K29</f>
        <v>-125.85750000000007</v>
      </c>
      <c r="L29" s="3">
        <f>Interest!L29</f>
        <v>-376.7175000000002</v>
      </c>
      <c r="M29" s="3">
        <f>Interest!M29</f>
        <v>-706.8449999999998</v>
      </c>
      <c r="N29" s="3">
        <f>Interest!N29</f>
        <v>-748.72000000000025</v>
      </c>
      <c r="O29" s="3">
        <f>Interest!O29</f>
        <v>-499.27999999999975</v>
      </c>
      <c r="P29" s="3">
        <f>Interest!P29</f>
        <v>-544.16000000000076</v>
      </c>
      <c r="Q29" s="121">
        <f>Interest!Q29</f>
        <v>-521.22500000000036</v>
      </c>
      <c r="R29" s="121">
        <f>Interest!R29</f>
        <v>-561.45000000000073</v>
      </c>
      <c r="S29" s="121">
        <f>Interest!S29</f>
        <v>-515.44999999999982</v>
      </c>
      <c r="T29" s="121">
        <f>Interest!T29</f>
        <v>-761.34875000000011</v>
      </c>
      <c r="U29" s="121">
        <f>Interest!U29</f>
        <v>-1072.8249999999998</v>
      </c>
      <c r="V29" s="121">
        <f>Interest!V29</f>
        <v>-962.31446299999948</v>
      </c>
      <c r="W29" s="121">
        <f>Interest!W29</f>
        <v>-793.94607542857239</v>
      </c>
      <c r="X29" s="121">
        <f>Interest!X29</f>
        <v>-989.68786599999964</v>
      </c>
      <c r="Y29" s="121">
        <f>Interest!Y29</f>
        <v>-774.90718583482089</v>
      </c>
      <c r="Z29" s="121">
        <f>Interest!Z29</f>
        <v>-914.99420000000009</v>
      </c>
      <c r="AA29" s="121">
        <f>Interest!AA29</f>
        <v>-1413.3342470000005</v>
      </c>
      <c r="AB29" s="344">
        <f>Interest!AB29</f>
        <v>-1877.3225000000011</v>
      </c>
      <c r="AC29" s="79">
        <f>Interest!AC29</f>
        <v>-2508.3016000510092</v>
      </c>
      <c r="AD29" s="79">
        <f>Interest!AD29</f>
        <v>-3085.3383096140847</v>
      </c>
      <c r="AE29" s="79">
        <f>Interest!AE29</f>
        <v>-3590.710747807479</v>
      </c>
      <c r="AF29" s="240">
        <f>Interest!AF29</f>
        <v>-4046.4242670582767</v>
      </c>
    </row>
    <row r="30" spans="1:32" s="121" customFormat="1" x14ac:dyDescent="0.2">
      <c r="A30" s="3" t="s">
        <v>222</v>
      </c>
      <c r="B30" s="3" t="s">
        <v>201</v>
      </c>
      <c r="C30" s="3">
        <f>'Data Input'!D16</f>
        <v>0</v>
      </c>
      <c r="D30" s="3">
        <f>'Data Input'!E16</f>
        <v>0</v>
      </c>
      <c r="E30" s="3">
        <f>'Data Input'!F16</f>
        <v>0</v>
      </c>
      <c r="F30" s="3">
        <f>'Data Input'!G16</f>
        <v>0</v>
      </c>
      <c r="G30" s="3">
        <f>'Data Input'!H16</f>
        <v>0</v>
      </c>
      <c r="H30" s="3">
        <f>'Data Input'!I16</f>
        <v>0</v>
      </c>
      <c r="I30" s="3">
        <f>'Data Input'!J16</f>
        <v>258</v>
      </c>
      <c r="J30" s="3">
        <f>'Data Input'!K16</f>
        <v>2013</v>
      </c>
      <c r="K30" s="3">
        <f>'Data Input'!L16</f>
        <v>0</v>
      </c>
      <c r="L30" s="3">
        <f>'Data Input'!M16</f>
        <v>0</v>
      </c>
      <c r="M30" s="3">
        <f>'Data Input'!N16</f>
        <v>0</v>
      </c>
      <c r="N30" s="3">
        <f>'Data Input'!O16</f>
        <v>4519</v>
      </c>
      <c r="O30" s="3">
        <f>'Data Input'!P16</f>
        <v>0</v>
      </c>
      <c r="P30" s="3">
        <f>'Data Input'!Q16</f>
        <v>0</v>
      </c>
      <c r="Q30" s="121">
        <f>'Data Input'!R16</f>
        <v>0</v>
      </c>
      <c r="R30" s="121">
        <f>'Data Input'!S16</f>
        <v>0</v>
      </c>
      <c r="S30" s="121">
        <f>'Data Input'!T16</f>
        <v>0</v>
      </c>
      <c r="T30" s="121">
        <f>'Data Input'!U16</f>
        <v>0</v>
      </c>
      <c r="U30" s="121">
        <f>'Data Input'!V16</f>
        <v>0</v>
      </c>
      <c r="V30" s="121">
        <f>'Data Input'!W16</f>
        <v>0</v>
      </c>
      <c r="W30" s="121">
        <f>'Data Input'!X16</f>
        <v>0</v>
      </c>
      <c r="X30" s="121">
        <f>'Data Input'!Y16</f>
        <v>0</v>
      </c>
      <c r="Y30" s="121">
        <f>'Data Input'!Z16</f>
        <v>0</v>
      </c>
      <c r="Z30" s="121">
        <f>'Data Input'!AA16</f>
        <v>0</v>
      </c>
      <c r="AA30" s="121">
        <f>'Data Input'!AB16</f>
        <v>0</v>
      </c>
      <c r="AB30" s="344">
        <f>'Data Input'!AC16</f>
        <v>0</v>
      </c>
      <c r="AC30" s="79">
        <f>'Data Input'!AD16</f>
        <v>0</v>
      </c>
      <c r="AD30" s="79">
        <f>'Data Input'!AE16</f>
        <v>0</v>
      </c>
      <c r="AE30" s="79">
        <f>'Data Input'!AF16</f>
        <v>0</v>
      </c>
      <c r="AF30" s="240">
        <f>'Data Input'!AG16</f>
        <v>0</v>
      </c>
    </row>
    <row r="31" spans="1:32" s="121" customFormat="1" x14ac:dyDescent="0.2">
      <c r="A31" s="3" t="s">
        <v>206</v>
      </c>
      <c r="B31" s="3"/>
      <c r="C31" s="3"/>
      <c r="D31" s="3"/>
      <c r="E31" s="3"/>
      <c r="F31" s="3"/>
      <c r="G31" s="3"/>
      <c r="H31" s="3"/>
      <c r="I31" s="3">
        <v>500</v>
      </c>
      <c r="J31" s="3">
        <v>-500</v>
      </c>
      <c r="K31" s="3"/>
      <c r="L31" s="3"/>
      <c r="M31" s="3"/>
      <c r="N31" s="3"/>
      <c r="O31" s="3"/>
      <c r="P31" s="3"/>
      <c r="AB31" s="344"/>
      <c r="AC31" s="79"/>
      <c r="AD31" s="79"/>
      <c r="AE31" s="79"/>
      <c r="AF31" s="240"/>
    </row>
    <row r="32" spans="1:32" s="121" customFormat="1" x14ac:dyDescent="0.2">
      <c r="A32" s="3" t="s">
        <v>223</v>
      </c>
      <c r="B32" s="3" t="s">
        <v>108</v>
      </c>
      <c r="C32" s="6">
        <f>'experience g(l)'!B71*-1</f>
        <v>0</v>
      </c>
      <c r="D32" s="6">
        <f>'experience g(l)'!C71*-1</f>
        <v>0</v>
      </c>
      <c r="E32" s="6">
        <f>'experience g(l)'!D71*-1</f>
        <v>0</v>
      </c>
      <c r="F32" s="6">
        <f>'experience g(l)'!E71*-1</f>
        <v>0</v>
      </c>
      <c r="G32" s="6">
        <f>'experience g(l)'!F71*-1</f>
        <v>0</v>
      </c>
      <c r="H32" s="6">
        <f>'experience g(l)'!G71*-1</f>
        <v>0</v>
      </c>
      <c r="I32" s="6">
        <f>'experience g(l)'!H71*-1</f>
        <v>-758</v>
      </c>
      <c r="J32" s="6">
        <f>'experience g(l)'!I71*-1</f>
        <v>-1513</v>
      </c>
      <c r="K32" s="6">
        <f>'experience g(l)'!J71*-1</f>
        <v>0</v>
      </c>
      <c r="L32" s="6">
        <f>'experience g(l)'!K71*-1</f>
        <v>0</v>
      </c>
      <c r="M32" s="6">
        <f>'experience g(l)'!L71*-1</f>
        <v>0</v>
      </c>
      <c r="N32" s="6">
        <f>'experience g(l)'!M71*-1</f>
        <v>-4519</v>
      </c>
      <c r="O32" s="6">
        <f>'experience g(l)'!N71*-1</f>
        <v>0</v>
      </c>
      <c r="P32" s="6">
        <f>'experience g(l)'!O71*-1</f>
        <v>0</v>
      </c>
      <c r="Q32" s="125">
        <f>'experience g(l)'!P71*-1</f>
        <v>0</v>
      </c>
      <c r="R32" s="125">
        <f>'experience g(l)'!Q71*-1</f>
        <v>0</v>
      </c>
      <c r="S32" s="125">
        <f>'experience g(l)'!R71*-1</f>
        <v>0</v>
      </c>
      <c r="T32" s="125">
        <f>'experience g(l)'!S71*-1</f>
        <v>0</v>
      </c>
      <c r="U32" s="125">
        <f>'experience g(l)'!T71*-1</f>
        <v>0</v>
      </c>
      <c r="V32" s="125">
        <f>'experience g(l)'!U71*-1</f>
        <v>0</v>
      </c>
      <c r="W32" s="125">
        <f>'experience g(l)'!V71*-1</f>
        <v>0</v>
      </c>
      <c r="X32" s="125">
        <f>'experience g(l)'!W71*-1</f>
        <v>0</v>
      </c>
      <c r="Y32" s="125">
        <f>'experience g(l)'!X71*-1</f>
        <v>0</v>
      </c>
      <c r="Z32" s="125">
        <f>'experience g(l)'!Y71*-1</f>
        <v>0</v>
      </c>
      <c r="AA32" s="125">
        <f>'experience g(l)'!Z71*-1</f>
        <v>0</v>
      </c>
      <c r="AB32" s="345">
        <f>'experience g(l)'!AA71*-1</f>
        <v>0</v>
      </c>
      <c r="AC32" s="81">
        <f>'experience g(l)'!AB71*-1</f>
        <v>0</v>
      </c>
      <c r="AD32" s="81">
        <f>'experience g(l)'!AC71*-1</f>
        <v>0</v>
      </c>
      <c r="AE32" s="81">
        <f>'experience g(l)'!AD71*-1</f>
        <v>0</v>
      </c>
      <c r="AF32" s="241">
        <f>'experience g(l)'!AE71*-1</f>
        <v>0</v>
      </c>
    </row>
    <row r="33" spans="1:32" s="146" customFormat="1" x14ac:dyDescent="0.2">
      <c r="A33" s="9" t="s">
        <v>346</v>
      </c>
      <c r="B33" s="9" t="s">
        <v>31</v>
      </c>
      <c r="C33" s="9">
        <f t="shared" ref="C33:AD33" si="32">SUM(C26:C32)</f>
        <v>730.63499999999999</v>
      </c>
      <c r="D33" s="9">
        <f t="shared" si="32"/>
        <v>882.42999999999984</v>
      </c>
      <c r="E33" s="9">
        <f t="shared" si="32"/>
        <v>637.99249999999984</v>
      </c>
      <c r="F33" s="9">
        <f t="shared" si="32"/>
        <v>468.09375</v>
      </c>
      <c r="G33" s="9">
        <f t="shared" si="32"/>
        <v>642.78749999999991</v>
      </c>
      <c r="H33" s="9">
        <f t="shared" si="32"/>
        <v>740.38749999999982</v>
      </c>
      <c r="I33" s="9">
        <f t="shared" si="32"/>
        <v>480.67500000000018</v>
      </c>
      <c r="J33" s="9">
        <f t="shared" si="32"/>
        <v>210.48874999999998</v>
      </c>
      <c r="K33" s="9">
        <f t="shared" si="32"/>
        <v>-92.857500000000073</v>
      </c>
      <c r="L33" s="9">
        <f t="shared" si="32"/>
        <v>-674.7175000000002</v>
      </c>
      <c r="M33" s="9">
        <f t="shared" si="32"/>
        <v>-1165.8449999999998</v>
      </c>
      <c r="N33" s="9">
        <f t="shared" si="32"/>
        <v>-317.72000000000025</v>
      </c>
      <c r="O33" s="9">
        <f t="shared" si="32"/>
        <v>27.720000000000255</v>
      </c>
      <c r="P33" s="9">
        <f t="shared" si="32"/>
        <v>41.839999999999236</v>
      </c>
      <c r="Q33" s="146">
        <f t="shared" si="32"/>
        <v>31.774999999999636</v>
      </c>
      <c r="R33" s="146">
        <f t="shared" si="32"/>
        <v>96.549999999999272</v>
      </c>
      <c r="S33" s="146">
        <f t="shared" si="32"/>
        <v>200.55000000000018</v>
      </c>
      <c r="T33" s="146">
        <f t="shared" si="32"/>
        <v>-428.34875000000011</v>
      </c>
      <c r="U33" s="146">
        <f t="shared" si="32"/>
        <v>-1087.8249999999998</v>
      </c>
      <c r="V33" s="146">
        <f t="shared" si="32"/>
        <v>-831.31446299999948</v>
      </c>
      <c r="W33" s="146">
        <f t="shared" si="32"/>
        <v>-285.14093257142963</v>
      </c>
      <c r="X33" s="146">
        <f t="shared" si="32"/>
        <v>-317.68786599999964</v>
      </c>
      <c r="Y33" s="146">
        <f t="shared" si="32"/>
        <v>361.37658202232205</v>
      </c>
      <c r="Z33" s="146">
        <f t="shared" si="32"/>
        <v>269.00579999999991</v>
      </c>
      <c r="AA33" s="146">
        <f t="shared" si="32"/>
        <v>-411.33424700000046</v>
      </c>
      <c r="AB33" s="343">
        <f t="shared" si="32"/>
        <v>-1346.3225000000011</v>
      </c>
      <c r="AC33" s="103">
        <f t="shared" si="32"/>
        <v>-2559.5884511439053</v>
      </c>
      <c r="AD33" s="103">
        <f t="shared" si="32"/>
        <v>-3362.2046241024304</v>
      </c>
      <c r="AE33" s="103">
        <f t="shared" ref="AE33:AF33" si="33">SUM(AE26:AE32)</f>
        <v>-4003.3662563806988</v>
      </c>
      <c r="AF33" s="266">
        <f t="shared" si="33"/>
        <v>-4549.7186385840378</v>
      </c>
    </row>
    <row r="34" spans="1:32" x14ac:dyDescent="0.2">
      <c r="A34" s="157" t="s">
        <v>342</v>
      </c>
      <c r="B34" s="157" t="s">
        <v>204</v>
      </c>
      <c r="C34" s="161"/>
      <c r="D34" s="161"/>
      <c r="E34" s="161"/>
      <c r="F34" s="161"/>
      <c r="G34" s="161"/>
      <c r="H34" s="161"/>
      <c r="I34" s="161"/>
      <c r="J34" s="161"/>
      <c r="K34" s="161"/>
      <c r="L34" s="161"/>
      <c r="M34" s="161"/>
      <c r="N34" s="161"/>
      <c r="O34" s="161"/>
      <c r="P34" s="161"/>
      <c r="Q34" s="161"/>
      <c r="R34" s="161"/>
      <c r="S34" s="162">
        <f>'year end'!S27</f>
        <v>-11.029411764705882</v>
      </c>
      <c r="T34" s="169">
        <f>'year end'!T27</f>
        <v>-11.029411764705882</v>
      </c>
      <c r="U34" s="169">
        <f>'year end'!U27</f>
        <v>-11.029411764705882</v>
      </c>
      <c r="V34" s="169">
        <f>'year end'!V27</f>
        <v>-11.029411764705882</v>
      </c>
      <c r="W34" s="169">
        <f>'year end'!W27</f>
        <v>-11.029411764705882</v>
      </c>
      <c r="X34" s="137">
        <f>'year end'!X27</f>
        <v>-11.029411764705882</v>
      </c>
      <c r="Y34" s="169">
        <f>'year end'!Y27</f>
        <v>-11.029411764705882</v>
      </c>
      <c r="Z34" s="169">
        <f>'year end'!Z27</f>
        <v>-11.029411764705882</v>
      </c>
      <c r="AA34" s="169">
        <f>'year end'!AA27</f>
        <v>-11.029411764705882</v>
      </c>
      <c r="AB34" s="367">
        <f>'year end'!AB27</f>
        <v>-11.029411764705882</v>
      </c>
      <c r="AC34" s="297">
        <f>'year end'!AC27</f>
        <v>-10.029411764705882</v>
      </c>
      <c r="AD34" s="297">
        <f>'year end'!AD27</f>
        <v>-10.029411764705882</v>
      </c>
      <c r="AE34" s="297">
        <f>'year end'!AE27</f>
        <v>-10.029411764705882</v>
      </c>
      <c r="AF34" s="272">
        <f>'year end'!AF27</f>
        <v>-10.029411764705882</v>
      </c>
    </row>
    <row r="35" spans="1:32" s="217" customFormat="1" x14ac:dyDescent="0.2">
      <c r="A35" s="8" t="s">
        <v>243</v>
      </c>
      <c r="B35" s="9" t="s">
        <v>241</v>
      </c>
      <c r="C35" s="14"/>
      <c r="D35" s="14"/>
      <c r="E35" s="14"/>
      <c r="F35" s="14"/>
      <c r="G35" s="124">
        <f t="shared" ref="G35:R35" si="34">SUM(G33:G34)</f>
        <v>642.78749999999991</v>
      </c>
      <c r="H35" s="124">
        <f t="shared" si="34"/>
        <v>740.38749999999982</v>
      </c>
      <c r="I35" s="124">
        <f t="shared" si="34"/>
        <v>480.67500000000018</v>
      </c>
      <c r="J35" s="124">
        <f t="shared" si="34"/>
        <v>210.48874999999998</v>
      </c>
      <c r="K35" s="124">
        <f t="shared" si="34"/>
        <v>-92.857500000000073</v>
      </c>
      <c r="L35" s="124">
        <f t="shared" si="34"/>
        <v>-674.7175000000002</v>
      </c>
      <c r="M35" s="124">
        <f t="shared" si="34"/>
        <v>-1165.8449999999998</v>
      </c>
      <c r="N35" s="124">
        <f t="shared" si="34"/>
        <v>-317.72000000000025</v>
      </c>
      <c r="O35" s="124">
        <f t="shared" si="34"/>
        <v>27.720000000000255</v>
      </c>
      <c r="P35" s="124">
        <f t="shared" si="34"/>
        <v>41.839999999999236</v>
      </c>
      <c r="Q35" s="124">
        <f t="shared" si="34"/>
        <v>31.774999999999636</v>
      </c>
      <c r="R35" s="124">
        <f t="shared" si="34"/>
        <v>96.549999999999272</v>
      </c>
      <c r="S35" s="124">
        <f t="shared" ref="S35:AD35" si="35">SUM(S33:S34)</f>
        <v>189.5205882352943</v>
      </c>
      <c r="T35" s="124">
        <f t="shared" si="35"/>
        <v>-439.37816176470596</v>
      </c>
      <c r="U35" s="124">
        <f t="shared" si="35"/>
        <v>-1098.8544117647057</v>
      </c>
      <c r="V35" s="124">
        <f t="shared" si="35"/>
        <v>-842.34387476470533</v>
      </c>
      <c r="W35" s="124">
        <f t="shared" si="35"/>
        <v>-296.17034433613549</v>
      </c>
      <c r="X35" s="124">
        <f t="shared" si="35"/>
        <v>-328.7172777647055</v>
      </c>
      <c r="Y35" s="124">
        <f t="shared" si="35"/>
        <v>350.3471702576162</v>
      </c>
      <c r="Z35" s="124">
        <f t="shared" si="35"/>
        <v>257.97638823529405</v>
      </c>
      <c r="AA35" s="124">
        <f t="shared" si="35"/>
        <v>-422.36365876470632</v>
      </c>
      <c r="AB35" s="368">
        <f t="shared" si="35"/>
        <v>-1357.351911764707</v>
      </c>
      <c r="AC35" s="80">
        <f t="shared" si="35"/>
        <v>-2569.6178629086112</v>
      </c>
      <c r="AD35" s="80">
        <f t="shared" si="35"/>
        <v>-3372.2340358671363</v>
      </c>
      <c r="AE35" s="80">
        <f t="shared" ref="AE35:AF35" si="36">SUM(AE33:AE34)</f>
        <v>-4013.3956681454047</v>
      </c>
      <c r="AF35" s="273">
        <f t="shared" si="36"/>
        <v>-4559.7480503487441</v>
      </c>
    </row>
  </sheetData>
  <phoneticPr fontId="0" type="noConversion"/>
  <pageMargins left="0.51181102362204722" right="0.51181102362204722" top="0.98425196850393704" bottom="0.98425196850393704" header="0.51181102362204722" footer="0.51181102362204722"/>
  <pageSetup paperSize="3" scale="59" orientation="landscape" r:id="rId1"/>
  <headerFooter alignWithMargins="0">
    <oddFooter>&amp;L&amp;"Arial,Bold"&amp;F&amp;C&amp;A&amp;R&amp;D  &amp;T</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CE49"/>
  <sheetViews>
    <sheetView workbookViewId="0">
      <pane xSplit="2" ySplit="3" topLeftCell="C7" activePane="bottomRight" state="frozen"/>
      <selection activeCell="AD1" sqref="AD1"/>
      <selection pane="topRight" activeCell="AD1" sqref="AD1"/>
      <selection pane="bottomLeft" activeCell="AD1" sqref="AD1"/>
      <selection pane="bottomRight" activeCell="H28" sqref="H28"/>
    </sheetView>
  </sheetViews>
  <sheetFormatPr baseColWidth="10" defaultColWidth="9.140625" defaultRowHeight="12.75" outlineLevelCol="1" x14ac:dyDescent="0.2"/>
  <cols>
    <col min="1" max="1" width="54.7109375" customWidth="1"/>
    <col min="2" max="2" width="20.28515625" customWidth="1"/>
    <col min="3" max="3" width="10.5703125" customWidth="1"/>
    <col min="4" max="7" width="10.42578125" customWidth="1"/>
    <col min="8" max="15" width="10.42578125" customWidth="1" outlineLevel="1"/>
    <col min="16" max="16" width="10.28515625" customWidth="1" outlineLevel="1"/>
    <col min="17" max="17" width="9.140625" customWidth="1" outlineLevel="1"/>
    <col min="18" max="21" width="9.140625" style="115" customWidth="1" outlineLevel="1"/>
    <col min="22" max="22" width="9.140625" style="115"/>
    <col min="23" max="23" width="10.28515625" style="115" bestFit="1" customWidth="1"/>
    <col min="24" max="27" width="9.140625" style="115"/>
    <col min="28" max="28" width="9.140625" style="115" customWidth="1"/>
    <col min="29" max="29" width="9.140625" style="463" customWidth="1"/>
    <col min="30" max="32" width="9.140625" style="76" hidden="1" customWidth="1" outlineLevel="1"/>
    <col min="33" max="33" width="9.140625" style="238" hidden="1" customWidth="1" outlineLevel="1"/>
    <col min="34" max="34" width="9.140625" style="171" collapsed="1"/>
    <col min="35" max="83" width="9.140625" style="171"/>
  </cols>
  <sheetData>
    <row r="1" spans="1:83" ht="15.75" x14ac:dyDescent="0.25">
      <c r="A1" s="18" t="s">
        <v>46</v>
      </c>
      <c r="B1" s="2"/>
      <c r="C1" s="2"/>
      <c r="D1" s="2"/>
      <c r="V1" s="195"/>
      <c r="W1" s="195"/>
      <c r="X1" s="195"/>
      <c r="Y1" s="195"/>
      <c r="Z1" s="195"/>
      <c r="AA1" s="195"/>
      <c r="AB1" s="195"/>
      <c r="AC1" s="459"/>
      <c r="AD1" s="191"/>
      <c r="AE1" s="191"/>
      <c r="AF1" s="191"/>
      <c r="AG1" s="257"/>
    </row>
    <row r="2" spans="1:83" x14ac:dyDescent="0.2">
      <c r="A2" s="308" t="s">
        <v>406</v>
      </c>
      <c r="V2" s="195"/>
      <c r="W2" s="195"/>
      <c r="X2" s="195"/>
      <c r="Y2" s="195"/>
      <c r="Z2" s="195"/>
      <c r="AA2" s="338" t="s">
        <v>178</v>
      </c>
      <c r="AB2" s="338" t="s">
        <v>294</v>
      </c>
      <c r="AC2" s="460" t="s">
        <v>309</v>
      </c>
      <c r="AD2" s="309" t="s">
        <v>315</v>
      </c>
      <c r="AE2" s="309" t="s">
        <v>316</v>
      </c>
      <c r="AF2" s="309" t="s">
        <v>317</v>
      </c>
      <c r="AG2" s="310" t="s">
        <v>318</v>
      </c>
    </row>
    <row r="3" spans="1:83" s="2" customFormat="1" ht="13.5" thickBot="1" x14ac:dyDescent="0.25">
      <c r="A3" s="19" t="s">
        <v>1</v>
      </c>
      <c r="B3" s="20" t="s">
        <v>26</v>
      </c>
      <c r="C3" s="20">
        <v>1989</v>
      </c>
      <c r="D3" s="20">
        <v>1990</v>
      </c>
      <c r="E3" s="20">
        <v>1991</v>
      </c>
      <c r="F3" s="20">
        <v>1992</v>
      </c>
      <c r="G3" s="20">
        <v>1993</v>
      </c>
      <c r="H3" s="20">
        <v>1994</v>
      </c>
      <c r="I3" s="20">
        <v>1995</v>
      </c>
      <c r="J3" s="20">
        <v>1996</v>
      </c>
      <c r="K3" s="20">
        <v>1997</v>
      </c>
      <c r="L3" s="20">
        <v>1998</v>
      </c>
      <c r="M3" s="20">
        <v>1999</v>
      </c>
      <c r="N3" s="20">
        <v>2000</v>
      </c>
      <c r="O3" s="20">
        <v>2001</v>
      </c>
      <c r="P3" s="20">
        <v>2002</v>
      </c>
      <c r="Q3" s="20">
        <v>2003</v>
      </c>
      <c r="R3" s="116">
        <v>2004</v>
      </c>
      <c r="S3" s="116">
        <v>2005</v>
      </c>
      <c r="T3" s="116">
        <v>2006</v>
      </c>
      <c r="U3" s="116">
        <v>2007</v>
      </c>
      <c r="V3" s="196">
        <v>2008</v>
      </c>
      <c r="W3" s="196">
        <v>2009</v>
      </c>
      <c r="X3" s="196">
        <v>2010</v>
      </c>
      <c r="Y3" s="196">
        <v>2011</v>
      </c>
      <c r="Z3" s="196">
        <v>2012</v>
      </c>
      <c r="AA3" s="196">
        <v>2013</v>
      </c>
      <c r="AB3" s="196">
        <v>2014</v>
      </c>
      <c r="AC3" s="461">
        <v>2015</v>
      </c>
      <c r="AD3" s="192">
        <v>2016</v>
      </c>
      <c r="AE3" s="192">
        <v>2017</v>
      </c>
      <c r="AF3" s="192">
        <v>2018</v>
      </c>
      <c r="AG3" s="258">
        <v>2019</v>
      </c>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row>
    <row r="4" spans="1:83" x14ac:dyDescent="0.2">
      <c r="V4" s="197"/>
      <c r="W4" s="197"/>
      <c r="X4" s="197"/>
      <c r="Y4" s="197"/>
      <c r="Z4" s="197"/>
      <c r="AA4" s="197"/>
      <c r="AB4" s="197"/>
      <c r="AC4" s="462"/>
      <c r="AD4" s="193"/>
      <c r="AE4" s="193"/>
      <c r="AF4" s="193"/>
      <c r="AG4" s="259"/>
    </row>
    <row r="5" spans="1:83" x14ac:dyDescent="0.2">
      <c r="A5" s="2" t="s">
        <v>0</v>
      </c>
      <c r="B5" s="2" t="s">
        <v>192</v>
      </c>
      <c r="C5" s="2"/>
      <c r="D5" s="2"/>
      <c r="V5" s="197"/>
      <c r="W5" s="197"/>
      <c r="X5" s="197"/>
      <c r="Y5" s="195"/>
      <c r="Z5" s="195"/>
      <c r="AA5" s="195"/>
      <c r="AB5" s="195"/>
      <c r="AC5" s="520"/>
      <c r="AD5" s="521"/>
      <c r="AE5" s="521"/>
      <c r="AF5" s="521"/>
      <c r="AG5" s="522"/>
    </row>
    <row r="6" spans="1:83" s="1" customFormat="1" x14ac:dyDescent="0.2">
      <c r="A6" s="401" t="s">
        <v>420</v>
      </c>
      <c r="B6" s="1" t="s">
        <v>27</v>
      </c>
      <c r="D6" s="5">
        <v>0.105</v>
      </c>
      <c r="E6" s="5">
        <v>0.10249999999999999</v>
      </c>
      <c r="F6" s="5">
        <v>9.5000000000000001E-2</v>
      </c>
      <c r="G6" s="5">
        <v>8.7499999999999994E-2</v>
      </c>
      <c r="H6" s="5">
        <v>8.7499999999999994E-2</v>
      </c>
      <c r="I6" s="5">
        <v>8.2500000000000004E-2</v>
      </c>
      <c r="J6" s="5">
        <v>8.2500000000000004E-2</v>
      </c>
      <c r="K6" s="5">
        <v>7.7499999999999999E-2</v>
      </c>
      <c r="L6" s="5">
        <v>7.2499999999999995E-2</v>
      </c>
      <c r="M6" s="5">
        <v>7.2499999999999995E-2</v>
      </c>
      <c r="N6" s="5">
        <v>7.0000000000000007E-2</v>
      </c>
      <c r="O6" s="5">
        <v>7.0000000000000007E-2</v>
      </c>
      <c r="P6" s="5">
        <v>7.0000000000000007E-2</v>
      </c>
      <c r="Q6" s="5">
        <v>7.0000000000000007E-2</v>
      </c>
      <c r="R6" s="117">
        <v>7.0000000000000007E-2</v>
      </c>
      <c r="S6" s="117">
        <v>7.0000000000000007E-2</v>
      </c>
      <c r="T6" s="117">
        <v>6.7500000000000004E-2</v>
      </c>
      <c r="U6" s="117">
        <v>6.7500000000000004E-2</v>
      </c>
      <c r="V6" s="198">
        <v>6.7500000000000004E-2</v>
      </c>
      <c r="W6" s="198">
        <v>6.7500000000000004E-2</v>
      </c>
      <c r="X6" s="198">
        <v>6.7500000000000004E-2</v>
      </c>
      <c r="Y6" s="220">
        <v>6.7500000000000004E-2</v>
      </c>
      <c r="Z6" s="220">
        <v>6.7500000000000004E-2</v>
      </c>
      <c r="AA6" s="220">
        <v>6.7500000000000004E-2</v>
      </c>
      <c r="AB6" s="464">
        <v>6.7500000000000004E-2</v>
      </c>
      <c r="AC6" s="525">
        <v>6.5000000000000002E-2</v>
      </c>
      <c r="AD6" s="526">
        <v>6.25E-2</v>
      </c>
      <c r="AE6" s="526">
        <v>6.25E-2</v>
      </c>
      <c r="AF6" s="526">
        <v>6.25E-2</v>
      </c>
      <c r="AG6" s="527">
        <v>6.25E-2</v>
      </c>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row>
    <row r="7" spans="1:83" s="1" customFormat="1" x14ac:dyDescent="0.2">
      <c r="A7" s="401" t="s">
        <v>420</v>
      </c>
      <c r="B7" s="1" t="s">
        <v>27</v>
      </c>
      <c r="D7" s="5">
        <v>9.2499999999999999E-2</v>
      </c>
      <c r="E7" s="5">
        <v>9.2499999999999999E-2</v>
      </c>
      <c r="F7" s="5">
        <v>0.09</v>
      </c>
      <c r="G7" s="5">
        <v>8.7499999999999994E-2</v>
      </c>
      <c r="H7" s="5">
        <v>8.7499999999999994E-2</v>
      </c>
      <c r="I7" s="5">
        <v>8.2500000000000004E-2</v>
      </c>
      <c r="J7" s="5">
        <v>8.2500000000000004E-2</v>
      </c>
      <c r="K7" s="5">
        <v>7.7499999999999999E-2</v>
      </c>
      <c r="L7" s="5">
        <v>7.2499999999999995E-2</v>
      </c>
      <c r="M7" s="5">
        <v>7.2499999999999995E-2</v>
      </c>
      <c r="N7" s="5">
        <v>7.0000000000000007E-2</v>
      </c>
      <c r="O7" s="5">
        <v>7.0000000000000007E-2</v>
      </c>
      <c r="P7" s="5">
        <v>7.0000000000000007E-2</v>
      </c>
      <c r="Q7" s="5">
        <v>7.0000000000000007E-2</v>
      </c>
      <c r="R7" s="117">
        <v>7.0000000000000007E-2</v>
      </c>
      <c r="S7" s="117">
        <v>7.0000000000000007E-2</v>
      </c>
      <c r="T7" s="117">
        <v>6.7500000000000004E-2</v>
      </c>
      <c r="U7" s="117">
        <v>6.7500000000000004E-2</v>
      </c>
      <c r="V7" s="198">
        <v>6.7500000000000004E-2</v>
      </c>
      <c r="W7" s="198">
        <v>6.7500000000000004E-2</v>
      </c>
      <c r="X7" s="198">
        <v>6.7500000000000004E-2</v>
      </c>
      <c r="Y7" s="220">
        <v>6.7500000000000004E-2</v>
      </c>
      <c r="Z7" s="220">
        <v>6.7500000000000004E-2</v>
      </c>
      <c r="AA7" s="220">
        <v>6.7500000000000004E-2</v>
      </c>
      <c r="AB7" s="464">
        <v>6.7500000000000004E-2</v>
      </c>
      <c r="AC7" s="525">
        <v>6.5000000000000002E-2</v>
      </c>
      <c r="AD7" s="526">
        <v>6.25E-2</v>
      </c>
      <c r="AE7" s="526">
        <v>6.25E-2</v>
      </c>
      <c r="AF7" s="526">
        <v>6.25E-2</v>
      </c>
      <c r="AG7" s="527">
        <v>6.25E-2</v>
      </c>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row>
    <row r="8" spans="1:83" s="1" customFormat="1" x14ac:dyDescent="0.2">
      <c r="A8" s="1" t="s">
        <v>2</v>
      </c>
      <c r="B8" s="1" t="s">
        <v>27</v>
      </c>
      <c r="D8" s="5">
        <v>0.06</v>
      </c>
      <c r="E8" s="5">
        <v>5.7500000000000002E-2</v>
      </c>
      <c r="F8" s="5">
        <v>5.2499999999999998E-2</v>
      </c>
      <c r="G8" s="5">
        <v>0.05</v>
      </c>
      <c r="H8" s="5">
        <v>0.05</v>
      </c>
      <c r="I8" s="5">
        <v>4.4999999999999998E-2</v>
      </c>
      <c r="J8" s="5">
        <v>4.4999999999999998E-2</v>
      </c>
      <c r="K8" s="5">
        <v>0.04</v>
      </c>
      <c r="L8" s="5">
        <v>3.5000000000000003E-2</v>
      </c>
      <c r="M8" s="5">
        <v>3.5000000000000003E-2</v>
      </c>
      <c r="N8" s="5">
        <v>3.5000000000000003E-2</v>
      </c>
      <c r="O8" s="5">
        <v>3.5000000000000003E-2</v>
      </c>
      <c r="P8" s="5">
        <v>3.5000000000000003E-2</v>
      </c>
      <c r="Q8" s="5">
        <v>3.5000000000000003E-2</v>
      </c>
      <c r="R8" s="117">
        <v>3.5000000000000003E-2</v>
      </c>
      <c r="S8" s="117">
        <v>3.5000000000000003E-2</v>
      </c>
      <c r="T8" s="117">
        <v>3.5000000000000003E-2</v>
      </c>
      <c r="U8" s="117">
        <v>3.5000000000000003E-2</v>
      </c>
      <c r="V8" s="198">
        <v>3.5000000000000003E-2</v>
      </c>
      <c r="W8" s="198">
        <v>3.5000000000000003E-2</v>
      </c>
      <c r="X8" s="198">
        <v>3.5000000000000003E-2</v>
      </c>
      <c r="Y8" s="220">
        <v>3.5000000000000003E-2</v>
      </c>
      <c r="Z8" s="220">
        <v>3.5000000000000003E-2</v>
      </c>
      <c r="AA8" s="220">
        <v>3.5000000000000003E-2</v>
      </c>
      <c r="AB8" s="464">
        <v>3.5000000000000003E-2</v>
      </c>
      <c r="AC8" s="525">
        <v>3.2500000000000001E-2</v>
      </c>
      <c r="AD8" s="526">
        <v>0.03</v>
      </c>
      <c r="AE8" s="526">
        <v>0.03</v>
      </c>
      <c r="AF8" s="526">
        <v>0.03</v>
      </c>
      <c r="AG8" s="527">
        <v>0.03</v>
      </c>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row>
    <row r="9" spans="1:83" s="1" customFormat="1" x14ac:dyDescent="0.2">
      <c r="A9" s="1" t="s">
        <v>3</v>
      </c>
      <c r="B9" s="1" t="s">
        <v>27</v>
      </c>
      <c r="D9" s="5">
        <v>4.4999999999999998E-2</v>
      </c>
      <c r="E9" s="5">
        <v>4.4999999999999998E-2</v>
      </c>
      <c r="F9" s="5">
        <v>4.2500000000000003E-2</v>
      </c>
      <c r="G9" s="5">
        <v>0.04</v>
      </c>
      <c r="H9" s="5">
        <v>0.04</v>
      </c>
      <c r="I9" s="5">
        <v>3.5000000000000003E-2</v>
      </c>
      <c r="J9" s="5">
        <v>3.5000000000000003E-2</v>
      </c>
      <c r="K9" s="5">
        <v>0.03</v>
      </c>
      <c r="L9" s="5">
        <v>2.5000000000000001E-2</v>
      </c>
      <c r="M9" s="5">
        <v>2.5000000000000001E-2</v>
      </c>
      <c r="N9" s="5">
        <v>2.5000000000000001E-2</v>
      </c>
      <c r="O9" s="5">
        <v>2.5000000000000001E-2</v>
      </c>
      <c r="P9" s="5">
        <v>2.5000000000000001E-2</v>
      </c>
      <c r="Q9" s="5">
        <v>2.5000000000000001E-2</v>
      </c>
      <c r="R9" s="117">
        <v>2.5000000000000001E-2</v>
      </c>
      <c r="S9" s="117">
        <v>2.5000000000000001E-2</v>
      </c>
      <c r="T9" s="117">
        <v>2.5000000000000001E-2</v>
      </c>
      <c r="U9" s="117">
        <v>2.5000000000000001E-2</v>
      </c>
      <c r="V9" s="198">
        <v>2.5000000000000001E-2</v>
      </c>
      <c r="W9" s="198">
        <v>2.5000000000000001E-2</v>
      </c>
      <c r="X9" s="198">
        <v>2.5000000000000001E-2</v>
      </c>
      <c r="Y9" s="220">
        <v>2.5000000000000001E-2</v>
      </c>
      <c r="Z9" s="220">
        <v>2.5000000000000001E-2</v>
      </c>
      <c r="AA9" s="220">
        <v>2.5000000000000001E-2</v>
      </c>
      <c r="AB9" s="464">
        <v>2.5000000000000001E-2</v>
      </c>
      <c r="AC9" s="525">
        <v>2.2500000000000003E-2</v>
      </c>
      <c r="AD9" s="526">
        <v>0.02</v>
      </c>
      <c r="AE9" s="526">
        <v>0.02</v>
      </c>
      <c r="AF9" s="526">
        <v>0.02</v>
      </c>
      <c r="AG9" s="527">
        <v>0.02</v>
      </c>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row>
    <row r="10" spans="1:83" x14ac:dyDescent="0.2">
      <c r="V10" s="197"/>
      <c r="W10" s="197"/>
      <c r="X10" s="197"/>
      <c r="Y10" s="195"/>
      <c r="Z10" s="195"/>
      <c r="AA10" s="195"/>
      <c r="AB10" s="465"/>
      <c r="AC10" s="459"/>
      <c r="AD10" s="191"/>
      <c r="AE10" s="191"/>
      <c r="AF10" s="191"/>
      <c r="AG10" s="257"/>
    </row>
    <row r="11" spans="1:83" x14ac:dyDescent="0.2">
      <c r="A11" s="2" t="s">
        <v>4</v>
      </c>
      <c r="B11" s="2"/>
      <c r="C11" s="2"/>
      <c r="D11" s="2"/>
      <c r="V11" s="197"/>
      <c r="W11" s="197"/>
      <c r="X11" s="197"/>
      <c r="Y11" s="195"/>
      <c r="Z11" s="195"/>
      <c r="AA11" s="195"/>
      <c r="AB11" s="465"/>
      <c r="AC11" s="459"/>
      <c r="AD11" s="191"/>
      <c r="AE11" s="191"/>
      <c r="AF11" s="191"/>
      <c r="AG11" s="257"/>
    </row>
    <row r="12" spans="1:83" s="3" customFormat="1" x14ac:dyDescent="0.2">
      <c r="A12" s="3" t="s">
        <v>11</v>
      </c>
      <c r="B12" s="3" t="s">
        <v>28</v>
      </c>
      <c r="C12" s="7">
        <v>21912</v>
      </c>
      <c r="D12" s="7">
        <v>24391</v>
      </c>
      <c r="E12" s="7">
        <v>27479</v>
      </c>
      <c r="F12" s="7">
        <v>30781</v>
      </c>
      <c r="G12" s="7">
        <v>33998</v>
      </c>
      <c r="H12" s="7">
        <v>36848</v>
      </c>
      <c r="I12" s="7">
        <v>39007</v>
      </c>
      <c r="J12" s="7">
        <v>41833</v>
      </c>
      <c r="K12" s="7">
        <v>46470</v>
      </c>
      <c r="L12" s="7">
        <v>48635</v>
      </c>
      <c r="M12" s="7">
        <v>50346</v>
      </c>
      <c r="N12" s="7">
        <v>55087</v>
      </c>
      <c r="O12" s="7">
        <v>64369</v>
      </c>
      <c r="P12" s="7">
        <v>67319</v>
      </c>
      <c r="Q12" s="7">
        <v>71009</v>
      </c>
      <c r="R12" s="118">
        <v>74089</v>
      </c>
      <c r="S12" s="118">
        <v>80371</v>
      </c>
      <c r="T12" s="118">
        <v>83120</v>
      </c>
      <c r="U12" s="118">
        <v>88356</v>
      </c>
      <c r="V12" s="199">
        <v>92022</v>
      </c>
      <c r="W12" s="199">
        <v>96608</v>
      </c>
      <c r="X12" s="199">
        <v>99117</v>
      </c>
      <c r="Y12" s="221">
        <v>103693</v>
      </c>
      <c r="Z12" s="221">
        <v>105954</v>
      </c>
      <c r="AA12" s="221">
        <v>109524</v>
      </c>
      <c r="AB12" s="466">
        <v>113801</v>
      </c>
      <c r="AC12" s="476">
        <v>116367</v>
      </c>
      <c r="AD12" s="528">
        <v>120891.15773981952</v>
      </c>
      <c r="AE12" s="528">
        <v>125674.54587496544</v>
      </c>
      <c r="AF12" s="528">
        <v>130724.77615093655</v>
      </c>
      <c r="AG12" s="529">
        <v>136066.48289917331</v>
      </c>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row>
    <row r="13" spans="1:83" s="3" customFormat="1" x14ac:dyDescent="0.2">
      <c r="A13" s="3" t="s">
        <v>5</v>
      </c>
      <c r="B13" s="3" t="s">
        <v>28</v>
      </c>
      <c r="D13" s="7">
        <v>2309</v>
      </c>
      <c r="E13" s="7">
        <v>2588</v>
      </c>
      <c r="F13" s="7">
        <v>2845</v>
      </c>
      <c r="G13" s="7">
        <v>2943</v>
      </c>
      <c r="H13" s="7">
        <v>3000</v>
      </c>
      <c r="I13" s="7">
        <v>3076</v>
      </c>
      <c r="J13" s="7">
        <v>3381</v>
      </c>
      <c r="K13" s="7">
        <v>3425</v>
      </c>
      <c r="L13" s="7">
        <v>3415</v>
      </c>
      <c r="M13" s="7">
        <v>3493</v>
      </c>
      <c r="N13" s="7">
        <v>3648</v>
      </c>
      <c r="O13" s="7">
        <v>4108</v>
      </c>
      <c r="P13" s="7">
        <v>4468</v>
      </c>
      <c r="Q13" s="7">
        <v>4669</v>
      </c>
      <c r="R13" s="118">
        <v>4923</v>
      </c>
      <c r="S13" s="118">
        <v>5158</v>
      </c>
      <c r="T13" s="118">
        <v>5318</v>
      </c>
      <c r="U13" s="118">
        <v>5550</v>
      </c>
      <c r="V13" s="199">
        <v>5898</v>
      </c>
      <c r="W13" s="199">
        <v>6166</v>
      </c>
      <c r="X13" s="199">
        <v>6452</v>
      </c>
      <c r="Y13" s="221">
        <v>6619</v>
      </c>
      <c r="Z13" s="221">
        <v>6926</v>
      </c>
      <c r="AA13" s="221">
        <v>7067</v>
      </c>
      <c r="AB13" s="466">
        <v>7311</v>
      </c>
      <c r="AC13" s="476">
        <v>7310</v>
      </c>
      <c r="AD13" s="528">
        <v>7182.34375</v>
      </c>
      <c r="AE13" s="528">
        <v>7456.8457620590325</v>
      </c>
      <c r="AF13" s="528">
        <v>7748.5862659982058</v>
      </c>
      <c r="AG13" s="529">
        <v>8056.4801008723562</v>
      </c>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row>
    <row r="14" spans="1:83" s="3" customFormat="1" x14ac:dyDescent="0.2">
      <c r="A14" s="3" t="s">
        <v>50</v>
      </c>
      <c r="B14" s="3" t="s">
        <v>28</v>
      </c>
      <c r="D14" s="7">
        <v>930</v>
      </c>
      <c r="E14" s="7">
        <v>1180</v>
      </c>
      <c r="F14" s="7">
        <v>1188</v>
      </c>
      <c r="G14" s="7">
        <v>1170</v>
      </c>
      <c r="H14" s="7">
        <v>1292</v>
      </c>
      <c r="I14" s="7">
        <v>1363</v>
      </c>
      <c r="J14" s="7">
        <v>1337</v>
      </c>
      <c r="K14" s="7">
        <v>1204</v>
      </c>
      <c r="L14" s="7">
        <v>1305</v>
      </c>
      <c r="M14" s="7">
        <v>1301</v>
      </c>
      <c r="N14" s="7">
        <v>1300</v>
      </c>
      <c r="O14" s="7">
        <v>1539</v>
      </c>
      <c r="P14" s="7">
        <v>1695</v>
      </c>
      <c r="Q14" s="7">
        <v>1735</v>
      </c>
      <c r="R14" s="118">
        <v>1756</v>
      </c>
      <c r="S14" s="118">
        <v>1909</v>
      </c>
      <c r="T14" s="118">
        <f>1979+14+2+17-T15</f>
        <v>1995</v>
      </c>
      <c r="U14" s="118">
        <f>2085+16+1</f>
        <v>2102</v>
      </c>
      <c r="V14" s="199">
        <v>2236</v>
      </c>
      <c r="W14" s="199">
        <v>2349</v>
      </c>
      <c r="X14" s="199">
        <v>2434</v>
      </c>
      <c r="Y14" s="221">
        <v>2565</v>
      </c>
      <c r="Z14" s="221">
        <v>2791</v>
      </c>
      <c r="AA14" s="221">
        <v>2654</v>
      </c>
      <c r="AB14" s="466">
        <v>2924</v>
      </c>
      <c r="AC14" s="530">
        <f>2868+34+0</f>
        <v>2902</v>
      </c>
      <c r="AD14" s="528">
        <v>3023.59375</v>
      </c>
      <c r="AE14" s="528">
        <v>3262.1026904296868</v>
      </c>
      <c r="AF14" s="528">
        <v>3500.4040891754139</v>
      </c>
      <c r="AG14" s="529">
        <v>3756.0074825188831</v>
      </c>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row>
    <row r="15" spans="1:83" s="157" customFormat="1" x14ac:dyDescent="0.2">
      <c r="A15" s="157" t="s">
        <v>18</v>
      </c>
      <c r="D15" s="158"/>
      <c r="E15" s="158"/>
      <c r="F15" s="158"/>
      <c r="G15" s="158"/>
      <c r="H15" s="158"/>
      <c r="I15" s="158"/>
      <c r="J15" s="158"/>
      <c r="K15" s="158"/>
      <c r="L15" s="158"/>
      <c r="M15" s="158"/>
      <c r="N15" s="158"/>
      <c r="O15" s="158"/>
      <c r="P15" s="158"/>
      <c r="Q15" s="158"/>
      <c r="R15" s="158"/>
      <c r="S15" s="158"/>
      <c r="T15" s="158">
        <f>T34</f>
        <v>17</v>
      </c>
      <c r="U15" s="158">
        <f>U34</f>
        <v>19</v>
      </c>
      <c r="V15" s="199">
        <v>17</v>
      </c>
      <c r="W15" s="199">
        <v>13</v>
      </c>
      <c r="X15" s="199">
        <v>11</v>
      </c>
      <c r="Y15" s="221">
        <v>15</v>
      </c>
      <c r="Z15" s="221">
        <v>13</v>
      </c>
      <c r="AA15" s="221">
        <v>13</v>
      </c>
      <c r="AB15" s="466">
        <v>13</v>
      </c>
      <c r="AC15" s="476">
        <v>14</v>
      </c>
      <c r="AD15" s="528">
        <v>13</v>
      </c>
      <c r="AE15" s="528">
        <v>13</v>
      </c>
      <c r="AF15" s="528">
        <v>13</v>
      </c>
      <c r="AG15" s="529">
        <v>13</v>
      </c>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row>
    <row r="16" spans="1:83" s="3" customFormat="1" x14ac:dyDescent="0.2">
      <c r="A16" s="3" t="s">
        <v>207</v>
      </c>
      <c r="B16" s="3" t="s">
        <v>28</v>
      </c>
      <c r="D16" s="7"/>
      <c r="E16" s="7">
        <v>0</v>
      </c>
      <c r="F16" s="7">
        <v>0</v>
      </c>
      <c r="G16" s="7">
        <v>0</v>
      </c>
      <c r="H16" s="7">
        <v>0</v>
      </c>
      <c r="I16" s="7">
        <v>0</v>
      </c>
      <c r="J16" s="7">
        <v>258</v>
      </c>
      <c r="K16" s="7">
        <v>2013</v>
      </c>
      <c r="L16" s="7"/>
      <c r="M16" s="7">
        <v>0</v>
      </c>
      <c r="N16" s="7">
        <v>0</v>
      </c>
      <c r="O16" s="7">
        <v>4519</v>
      </c>
      <c r="P16" s="7"/>
      <c r="Q16" s="7"/>
      <c r="R16" s="118"/>
      <c r="S16" s="118"/>
      <c r="T16" s="118"/>
      <c r="U16" s="118"/>
      <c r="V16" s="199"/>
      <c r="W16" s="199"/>
      <c r="X16" s="199"/>
      <c r="Y16" s="221">
        <v>0</v>
      </c>
      <c r="Z16" s="221">
        <v>0</v>
      </c>
      <c r="AA16" s="221">
        <v>0</v>
      </c>
      <c r="AB16" s="467">
        <v>0</v>
      </c>
      <c r="AC16" s="531">
        <v>0</v>
      </c>
      <c r="AD16" s="532">
        <v>0</v>
      </c>
      <c r="AE16" s="532">
        <v>0</v>
      </c>
      <c r="AF16" s="532">
        <v>0</v>
      </c>
      <c r="AG16" s="533">
        <v>0</v>
      </c>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row>
    <row r="17" spans="1:83" s="3" customFormat="1" x14ac:dyDescent="0.2">
      <c r="A17" s="3" t="s">
        <v>208</v>
      </c>
      <c r="B17" s="3" t="s">
        <v>28</v>
      </c>
      <c r="D17" s="7"/>
      <c r="E17" s="7"/>
      <c r="F17" s="7"/>
      <c r="G17" s="7"/>
      <c r="H17" s="7"/>
      <c r="I17" s="7"/>
      <c r="J17" s="7"/>
      <c r="K17" s="7"/>
      <c r="L17" s="7">
        <v>380</v>
      </c>
      <c r="M17" s="7"/>
      <c r="N17" s="7"/>
      <c r="O17" s="7"/>
      <c r="P17" s="7"/>
      <c r="Q17" s="7"/>
      <c r="R17" s="118"/>
      <c r="S17" s="118"/>
      <c r="T17" s="118"/>
      <c r="U17" s="118"/>
      <c r="V17" s="199"/>
      <c r="W17" s="199"/>
      <c r="X17" s="199">
        <v>0</v>
      </c>
      <c r="Y17" s="221">
        <v>0</v>
      </c>
      <c r="Z17" s="221">
        <v>0</v>
      </c>
      <c r="AA17" s="221">
        <v>0</v>
      </c>
      <c r="AB17" s="467">
        <v>0</v>
      </c>
      <c r="AC17" s="531">
        <v>0</v>
      </c>
      <c r="AD17" s="532">
        <v>0</v>
      </c>
      <c r="AE17" s="532">
        <v>0</v>
      </c>
      <c r="AF17" s="532">
        <v>0</v>
      </c>
      <c r="AG17" s="533">
        <v>0</v>
      </c>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row>
    <row r="18" spans="1:83" s="3" customFormat="1" x14ac:dyDescent="0.2">
      <c r="A18" s="3" t="s">
        <v>9</v>
      </c>
      <c r="B18" s="3" t="s">
        <v>29</v>
      </c>
      <c r="D18" s="7">
        <v>-760</v>
      </c>
      <c r="E18" s="7">
        <v>-829</v>
      </c>
      <c r="F18" s="7">
        <v>-921</v>
      </c>
      <c r="G18" s="7">
        <v>-1001</v>
      </c>
      <c r="H18" s="7">
        <v>-1130</v>
      </c>
      <c r="I18" s="7">
        <v>-1261</v>
      </c>
      <c r="J18" s="7">
        <v>-1520</v>
      </c>
      <c r="K18" s="7">
        <v>-1802</v>
      </c>
      <c r="L18" s="7">
        <v>-2103</v>
      </c>
      <c r="M18" s="7">
        <v>-2278</v>
      </c>
      <c r="N18" s="7">
        <v>-2541</v>
      </c>
      <c r="O18" s="7">
        <v>-3080</v>
      </c>
      <c r="P18" s="7">
        <v>-3076</v>
      </c>
      <c r="Q18" s="7">
        <v>-3199</v>
      </c>
      <c r="R18" s="118">
        <f>-3220-208</f>
        <v>-3428</v>
      </c>
      <c r="S18" s="118">
        <v>-3620</v>
      </c>
      <c r="T18" s="118">
        <f>-3725-7-86</f>
        <v>-3818</v>
      </c>
      <c r="U18" s="118">
        <f>-3976-8-36</f>
        <v>-4020</v>
      </c>
      <c r="V18" s="199">
        <v>-4194</v>
      </c>
      <c r="W18" s="199">
        <v>-4392</v>
      </c>
      <c r="X18" s="199">
        <v>-4500</v>
      </c>
      <c r="Y18" s="221">
        <v>-4663</v>
      </c>
      <c r="Z18" s="221">
        <v>-4924</v>
      </c>
      <c r="AA18" s="221">
        <v>-5150</v>
      </c>
      <c r="AB18" s="466">
        <v>-5306</v>
      </c>
      <c r="AC18" s="476">
        <f>-5356-0-180</f>
        <v>-5536</v>
      </c>
      <c r="AD18" s="528">
        <v>-5694.7797601804714</v>
      </c>
      <c r="AE18" s="528">
        <v>-5948.560317342809</v>
      </c>
      <c r="AF18" s="528">
        <v>-6211.7600792025059</v>
      </c>
      <c r="AG18" s="529">
        <f>-6484.78083515448+1</f>
        <v>-6483.78083515448</v>
      </c>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row>
    <row r="19" spans="1:83" s="3" customFormat="1" x14ac:dyDescent="0.2">
      <c r="A19" s="3" t="s">
        <v>6</v>
      </c>
      <c r="B19" s="3" t="s">
        <v>28</v>
      </c>
      <c r="D19" s="7"/>
      <c r="E19" s="7">
        <v>138</v>
      </c>
      <c r="F19" s="7">
        <v>-433</v>
      </c>
      <c r="G19" s="7">
        <v>-646</v>
      </c>
      <c r="H19" s="7">
        <v>-558</v>
      </c>
      <c r="I19" s="7">
        <v>-1156</v>
      </c>
      <c r="J19" s="7">
        <v>-822</v>
      </c>
      <c r="K19" s="7">
        <v>-878</v>
      </c>
      <c r="L19" s="7">
        <v>-1048</v>
      </c>
      <c r="M19" s="7">
        <v>-805</v>
      </c>
      <c r="N19" s="7">
        <v>605</v>
      </c>
      <c r="O19" s="7">
        <v>51</v>
      </c>
      <c r="P19" s="7">
        <f>-142</f>
        <v>-142</v>
      </c>
      <c r="Q19" s="7">
        <v>414</v>
      </c>
      <c r="R19" s="118">
        <v>-180</v>
      </c>
      <c r="S19" s="118">
        <v>0</v>
      </c>
      <c r="T19" s="118">
        <v>-68</v>
      </c>
      <c r="U19" s="118">
        <v>-276</v>
      </c>
      <c r="V19" s="199">
        <v>-291</v>
      </c>
      <c r="W19" s="199">
        <v>450</v>
      </c>
      <c r="X19" s="199">
        <v>-1975</v>
      </c>
      <c r="Y19" s="221">
        <v>-457</v>
      </c>
      <c r="Z19" s="221">
        <v>-312</v>
      </c>
      <c r="AA19" s="221">
        <v>-956</v>
      </c>
      <c r="AB19" s="466">
        <v>-300</v>
      </c>
      <c r="AC19" s="476">
        <f>-1028-552-1161</f>
        <v>-2741</v>
      </c>
      <c r="AD19" s="528">
        <v>0</v>
      </c>
      <c r="AE19" s="528">
        <v>0</v>
      </c>
      <c r="AF19" s="528">
        <v>0</v>
      </c>
      <c r="AG19" s="529">
        <v>0</v>
      </c>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row>
    <row r="20" spans="1:83" s="3" customFormat="1" x14ac:dyDescent="0.2">
      <c r="A20" s="3" t="s">
        <v>7</v>
      </c>
      <c r="B20" s="3" t="s">
        <v>30</v>
      </c>
      <c r="D20" s="7"/>
      <c r="E20" s="7">
        <v>0</v>
      </c>
      <c r="F20" s="7">
        <v>606</v>
      </c>
      <c r="G20" s="7">
        <v>733</v>
      </c>
      <c r="H20" s="7">
        <v>246</v>
      </c>
      <c r="I20" s="7">
        <v>137</v>
      </c>
      <c r="J20" s="7">
        <v>192</v>
      </c>
      <c r="K20" s="7">
        <v>675</v>
      </c>
      <c r="L20" s="7">
        <v>216</v>
      </c>
      <c r="M20" s="7">
        <v>0</v>
      </c>
      <c r="N20" s="7">
        <v>1729</v>
      </c>
      <c r="O20" s="7">
        <v>2145</v>
      </c>
      <c r="P20" s="7">
        <v>5</v>
      </c>
      <c r="Q20" s="7">
        <v>71</v>
      </c>
      <c r="R20" s="118">
        <v>9</v>
      </c>
      <c r="S20" s="118">
        <f>2769+66</f>
        <v>2835</v>
      </c>
      <c r="T20" s="118">
        <v>-695</v>
      </c>
      <c r="U20" s="118">
        <v>1861</v>
      </c>
      <c r="V20" s="199"/>
      <c r="W20" s="199"/>
      <c r="X20" s="199">
        <v>87</v>
      </c>
      <c r="Y20" s="221">
        <v>497</v>
      </c>
      <c r="Z20" s="221">
        <f>-2479+246</f>
        <v>-2233</v>
      </c>
      <c r="AA20" s="221">
        <v>-58</v>
      </c>
      <c r="AB20" s="468">
        <f>1054+116+4131-5666</f>
        <v>-365</v>
      </c>
      <c r="AC20" s="531">
        <f>350+4142-3829-46</f>
        <v>617</v>
      </c>
      <c r="AD20" s="532">
        <v>0</v>
      </c>
      <c r="AE20" s="532">
        <v>0</v>
      </c>
      <c r="AF20" s="532">
        <v>0</v>
      </c>
      <c r="AG20" s="533">
        <v>0</v>
      </c>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row>
    <row r="21" spans="1:83" s="8" customFormat="1" x14ac:dyDescent="0.2">
      <c r="A21" s="8" t="s">
        <v>10</v>
      </c>
      <c r="B21" s="8" t="s">
        <v>31</v>
      </c>
      <c r="D21" s="8">
        <f>SUM(D13:D20)</f>
        <v>2479</v>
      </c>
      <c r="E21" s="8">
        <f>SUM(E13:E20)</f>
        <v>3077</v>
      </c>
      <c r="F21" s="8">
        <f>SUM(F13:F20)</f>
        <v>3285</v>
      </c>
      <c r="G21" s="8">
        <f t="shared" ref="G21:R21" si="0">SUM(G13:G20)</f>
        <v>3199</v>
      </c>
      <c r="H21" s="8">
        <f t="shared" si="0"/>
        <v>2850</v>
      </c>
      <c r="I21" s="8">
        <f t="shared" si="0"/>
        <v>2159</v>
      </c>
      <c r="J21" s="8">
        <f t="shared" si="0"/>
        <v>2826</v>
      </c>
      <c r="K21" s="8">
        <f t="shared" si="0"/>
        <v>4637</v>
      </c>
      <c r="L21" s="8">
        <f t="shared" si="0"/>
        <v>2165</v>
      </c>
      <c r="M21" s="8">
        <f t="shared" si="0"/>
        <v>1711</v>
      </c>
      <c r="N21" s="8">
        <f t="shared" si="0"/>
        <v>4741</v>
      </c>
      <c r="O21" s="8">
        <f t="shared" si="0"/>
        <v>9282</v>
      </c>
      <c r="P21" s="8">
        <f t="shared" si="0"/>
        <v>2950</v>
      </c>
      <c r="Q21" s="8">
        <f t="shared" si="0"/>
        <v>3690</v>
      </c>
      <c r="R21" s="119">
        <f t="shared" si="0"/>
        <v>3080</v>
      </c>
      <c r="S21" s="119">
        <f t="shared" ref="S21:AE21" si="1">SUM(S13:S20)</f>
        <v>6282</v>
      </c>
      <c r="T21" s="119">
        <f t="shared" si="1"/>
        <v>2749</v>
      </c>
      <c r="U21" s="119">
        <f t="shared" si="1"/>
        <v>5236</v>
      </c>
      <c r="V21" s="200">
        <f t="shared" si="1"/>
        <v>3666</v>
      </c>
      <c r="W21" s="200">
        <f t="shared" si="1"/>
        <v>4586</v>
      </c>
      <c r="X21" s="200">
        <f t="shared" si="1"/>
        <v>2509</v>
      </c>
      <c r="Y21" s="200">
        <f t="shared" si="1"/>
        <v>4576</v>
      </c>
      <c r="Z21" s="200">
        <f t="shared" si="1"/>
        <v>2261</v>
      </c>
      <c r="AA21" s="200">
        <f t="shared" si="1"/>
        <v>3570</v>
      </c>
      <c r="AB21" s="469">
        <f t="shared" si="1"/>
        <v>4277</v>
      </c>
      <c r="AC21" s="477">
        <f t="shared" si="1"/>
        <v>2566</v>
      </c>
      <c r="AD21" s="78">
        <f t="shared" si="1"/>
        <v>4524.1577398195286</v>
      </c>
      <c r="AE21" s="78">
        <f t="shared" si="1"/>
        <v>4783.3881351459104</v>
      </c>
      <c r="AF21" s="78">
        <f>SUM(AF13:AF20)</f>
        <v>5050.2302759711147</v>
      </c>
      <c r="AG21" s="242">
        <f>SUM(AG13:AG20)</f>
        <v>5341.7067482367593</v>
      </c>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row>
    <row r="22" spans="1:83" s="8" customFormat="1" x14ac:dyDescent="0.2">
      <c r="A22" s="8" t="s">
        <v>8</v>
      </c>
      <c r="B22" s="8" t="s">
        <v>31</v>
      </c>
      <c r="E22" s="8">
        <f>E12-D12-E21</f>
        <v>11</v>
      </c>
      <c r="F22" s="8">
        <f>F12-E12-F21</f>
        <v>17</v>
      </c>
      <c r="G22" s="8">
        <f t="shared" ref="G22:R22" si="2">G12-F12-G21</f>
        <v>18</v>
      </c>
      <c r="H22" s="8">
        <f t="shared" si="2"/>
        <v>0</v>
      </c>
      <c r="I22" s="8">
        <f t="shared" si="2"/>
        <v>0</v>
      </c>
      <c r="J22" s="8">
        <f t="shared" si="2"/>
        <v>0</v>
      </c>
      <c r="K22" s="8">
        <f t="shared" si="2"/>
        <v>0</v>
      </c>
      <c r="L22" s="8">
        <f t="shared" si="2"/>
        <v>0</v>
      </c>
      <c r="M22" s="8">
        <f t="shared" si="2"/>
        <v>0</v>
      </c>
      <c r="N22" s="8">
        <f t="shared" si="2"/>
        <v>0</v>
      </c>
      <c r="O22" s="8">
        <f t="shared" si="2"/>
        <v>0</v>
      </c>
      <c r="P22" s="8">
        <f t="shared" si="2"/>
        <v>0</v>
      </c>
      <c r="Q22" s="8">
        <f t="shared" si="2"/>
        <v>0</v>
      </c>
      <c r="R22" s="119">
        <f t="shared" si="2"/>
        <v>0</v>
      </c>
      <c r="S22" s="119">
        <f t="shared" ref="S22:AG22" si="3">S12-R12-S21</f>
        <v>0</v>
      </c>
      <c r="T22" s="119">
        <f t="shared" si="3"/>
        <v>0</v>
      </c>
      <c r="U22" s="119">
        <f t="shared" si="3"/>
        <v>0</v>
      </c>
      <c r="V22" s="200">
        <f>V12-U12-V21</f>
        <v>0</v>
      </c>
      <c r="W22" s="200">
        <f t="shared" si="3"/>
        <v>0</v>
      </c>
      <c r="X22" s="200">
        <f t="shared" si="3"/>
        <v>0</v>
      </c>
      <c r="Y22" s="200">
        <f t="shared" si="3"/>
        <v>0</v>
      </c>
      <c r="Z22" s="200">
        <f t="shared" si="3"/>
        <v>0</v>
      </c>
      <c r="AA22" s="200">
        <f t="shared" si="3"/>
        <v>0</v>
      </c>
      <c r="AB22" s="469">
        <f t="shared" si="3"/>
        <v>0</v>
      </c>
      <c r="AC22" s="477">
        <f t="shared" si="3"/>
        <v>0</v>
      </c>
      <c r="AD22" s="78">
        <f t="shared" si="3"/>
        <v>0</v>
      </c>
      <c r="AE22" s="78">
        <f t="shared" si="3"/>
        <v>0</v>
      </c>
      <c r="AF22" s="78">
        <f t="shared" si="3"/>
        <v>0</v>
      </c>
      <c r="AG22" s="242">
        <f t="shared" si="3"/>
        <v>0</v>
      </c>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143"/>
      <c r="CC22" s="143"/>
      <c r="CD22" s="143"/>
      <c r="CE22" s="143"/>
    </row>
    <row r="23" spans="1:83" x14ac:dyDescent="0.2">
      <c r="V23" s="201"/>
      <c r="W23" s="201"/>
      <c r="X23" s="201"/>
      <c r="Y23" s="201"/>
      <c r="Z23" s="201"/>
      <c r="AA23" s="201"/>
      <c r="AB23" s="465"/>
      <c r="AC23" s="520"/>
      <c r="AD23" s="521"/>
      <c r="AE23" s="521"/>
      <c r="AF23" s="521"/>
      <c r="AG23" s="522"/>
    </row>
    <row r="24" spans="1:83" x14ac:dyDescent="0.2">
      <c r="V24" s="201"/>
      <c r="W24" s="201"/>
      <c r="X24" s="201"/>
      <c r="Y24" s="201"/>
      <c r="Z24" s="201"/>
      <c r="AA24" s="201"/>
      <c r="AB24" s="465"/>
      <c r="AC24" s="520"/>
      <c r="AD24" s="521"/>
      <c r="AE24" s="521"/>
      <c r="AF24" s="521"/>
      <c r="AG24" s="522"/>
    </row>
    <row r="25" spans="1:83" x14ac:dyDescent="0.2">
      <c r="A25" s="2" t="s">
        <v>13</v>
      </c>
      <c r="B25" s="2"/>
      <c r="C25" s="2"/>
      <c r="D25" s="2"/>
      <c r="V25" s="201"/>
      <c r="W25" s="201"/>
      <c r="X25" s="201"/>
      <c r="Y25" s="201"/>
      <c r="Z25" s="201"/>
      <c r="AA25" s="201"/>
      <c r="AB25" s="465"/>
      <c r="AC25" s="520"/>
      <c r="AD25" s="521"/>
      <c r="AE25" s="521"/>
      <c r="AF25" s="521"/>
      <c r="AG25" s="522"/>
    </row>
    <row r="26" spans="1:83" s="3" customFormat="1" x14ac:dyDescent="0.2">
      <c r="A26" s="3" t="s">
        <v>14</v>
      </c>
      <c r="B26" s="3" t="s">
        <v>29</v>
      </c>
      <c r="C26" s="7">
        <v>18540</v>
      </c>
      <c r="D26" s="567">
        <v>20124</v>
      </c>
      <c r="E26" s="567">
        <v>24697</v>
      </c>
      <c r="F26" s="567">
        <v>27773</v>
      </c>
      <c r="G26" s="567">
        <v>33711</v>
      </c>
      <c r="H26" s="567">
        <v>34494</v>
      </c>
      <c r="I26" s="567">
        <v>40137</v>
      </c>
      <c r="J26" s="567">
        <v>47429</v>
      </c>
      <c r="K26" s="567">
        <v>54479</v>
      </c>
      <c r="L26" s="567">
        <v>59170</v>
      </c>
      <c r="M26" s="567">
        <v>68303</v>
      </c>
      <c r="N26" s="567">
        <v>73121</v>
      </c>
      <c r="O26" s="567">
        <v>69456</v>
      </c>
      <c r="P26" s="567">
        <v>66213</v>
      </c>
      <c r="Q26" s="567">
        <v>75677</v>
      </c>
      <c r="R26" s="567">
        <v>84326</v>
      </c>
      <c r="S26" s="567">
        <v>96128</v>
      </c>
      <c r="T26" s="567">
        <v>106014</v>
      </c>
      <c r="U26" s="567">
        <v>108546</v>
      </c>
      <c r="V26" s="568">
        <v>87433</v>
      </c>
      <c r="W26" s="568">
        <v>96408</v>
      </c>
      <c r="X26" s="568">
        <v>107590</v>
      </c>
      <c r="Y26" s="569">
        <v>117099</v>
      </c>
      <c r="Z26" s="569">
        <v>129524</v>
      </c>
      <c r="AA26" s="569">
        <v>140764</v>
      </c>
      <c r="AB26" s="570">
        <v>154476</v>
      </c>
      <c r="AC26" s="569">
        <v>171440</v>
      </c>
      <c r="AD26" s="528">
        <v>179866.87488462828</v>
      </c>
      <c r="AE26" s="528">
        <v>188724.14824921408</v>
      </c>
      <c r="AF26" s="528">
        <v>197994.25039928145</v>
      </c>
      <c r="AG26" s="529">
        <v>207697.4054389525</v>
      </c>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row>
    <row r="27" spans="1:83" s="3" customFormat="1" x14ac:dyDescent="0.2">
      <c r="A27" s="296" t="s">
        <v>449</v>
      </c>
      <c r="B27" s="3" t="s">
        <v>28</v>
      </c>
      <c r="C27" s="7"/>
      <c r="D27" s="7">
        <v>709</v>
      </c>
      <c r="E27" s="29">
        <v>-883</v>
      </c>
      <c r="F27" s="29">
        <v>-414</v>
      </c>
      <c r="G27" s="29">
        <v>-2947</v>
      </c>
      <c r="H27" s="7">
        <v>-252</v>
      </c>
      <c r="I27" s="7">
        <v>-2045</v>
      </c>
      <c r="J27" s="7">
        <v>-4416</v>
      </c>
      <c r="K27" s="7">
        <v>-5578</v>
      </c>
      <c r="L27" s="7">
        <v>-4788</v>
      </c>
      <c r="M27" s="7">
        <v>-7264</v>
      </c>
      <c r="N27" s="7">
        <v>-4341</v>
      </c>
      <c r="O27" s="7">
        <v>2973</v>
      </c>
      <c r="P27" s="7">
        <v>9644</v>
      </c>
      <c r="Q27" s="7">
        <v>3480</v>
      </c>
      <c r="R27" s="118">
        <v>-1535</v>
      </c>
      <c r="S27" s="118">
        <v>-7434</v>
      </c>
      <c r="T27" s="118">
        <v>-11164</v>
      </c>
      <c r="U27" s="118">
        <v>-3629</v>
      </c>
      <c r="V27" s="202">
        <v>19524</v>
      </c>
      <c r="W27" s="202">
        <v>12704</v>
      </c>
      <c r="X27" s="202">
        <v>6656</v>
      </c>
      <c r="Y27" s="221">
        <v>-1414</v>
      </c>
      <c r="Z27" s="221">
        <v>-9660</v>
      </c>
      <c r="AA27" s="221">
        <v>-9897</v>
      </c>
      <c r="AB27" s="467">
        <v>-11400</v>
      </c>
      <c r="AC27" s="531">
        <v>-14442</v>
      </c>
      <c r="AD27" s="532">
        <v>-9061</v>
      </c>
      <c r="AE27" s="532">
        <v>-4991</v>
      </c>
      <c r="AF27" s="532">
        <v>-1855</v>
      </c>
      <c r="AG27" s="533">
        <v>0</v>
      </c>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row>
    <row r="28" spans="1:83" s="8" customFormat="1" x14ac:dyDescent="0.2">
      <c r="A28" s="8" t="s">
        <v>22</v>
      </c>
      <c r="B28" s="8" t="s">
        <v>31</v>
      </c>
      <c r="C28" s="10">
        <v>18540</v>
      </c>
      <c r="D28" s="10">
        <v>20124</v>
      </c>
      <c r="E28" s="10">
        <v>24697</v>
      </c>
      <c r="F28" s="10">
        <v>27773</v>
      </c>
      <c r="G28" s="10">
        <v>33711</v>
      </c>
      <c r="H28" s="8">
        <f>H26+H27</f>
        <v>34242</v>
      </c>
      <c r="I28" s="8">
        <f t="shared" ref="I28:R28" si="4">I26+I27</f>
        <v>38092</v>
      </c>
      <c r="J28" s="8">
        <f t="shared" si="4"/>
        <v>43013</v>
      </c>
      <c r="K28" s="8">
        <f t="shared" si="4"/>
        <v>48901</v>
      </c>
      <c r="L28" s="8">
        <f t="shared" si="4"/>
        <v>54382</v>
      </c>
      <c r="M28" s="8">
        <f t="shared" si="4"/>
        <v>61039</v>
      </c>
      <c r="N28" s="8">
        <f t="shared" si="4"/>
        <v>68780</v>
      </c>
      <c r="O28" s="8">
        <f t="shared" si="4"/>
        <v>72429</v>
      </c>
      <c r="P28" s="8">
        <f t="shared" si="4"/>
        <v>75857</v>
      </c>
      <c r="Q28" s="8">
        <f t="shared" si="4"/>
        <v>79157</v>
      </c>
      <c r="R28" s="119">
        <f t="shared" si="4"/>
        <v>82791</v>
      </c>
      <c r="S28" s="119">
        <f t="shared" ref="S28:AE28" si="5">S26+S27</f>
        <v>88694</v>
      </c>
      <c r="T28" s="119">
        <f t="shared" si="5"/>
        <v>94850</v>
      </c>
      <c r="U28" s="119">
        <f t="shared" si="5"/>
        <v>104917</v>
      </c>
      <c r="V28" s="200">
        <f t="shared" si="5"/>
        <v>106957</v>
      </c>
      <c r="W28" s="200">
        <f t="shared" si="5"/>
        <v>109112</v>
      </c>
      <c r="X28" s="200">
        <f t="shared" si="5"/>
        <v>114246</v>
      </c>
      <c r="Y28" s="200">
        <f t="shared" si="5"/>
        <v>115685</v>
      </c>
      <c r="Z28" s="200">
        <f t="shared" si="5"/>
        <v>119864</v>
      </c>
      <c r="AA28" s="200">
        <f t="shared" si="5"/>
        <v>130867</v>
      </c>
      <c r="AB28" s="469">
        <f t="shared" si="5"/>
        <v>143076</v>
      </c>
      <c r="AC28" s="477">
        <f t="shared" si="5"/>
        <v>156998</v>
      </c>
      <c r="AD28" s="78">
        <f t="shared" si="5"/>
        <v>170805.87488462828</v>
      </c>
      <c r="AE28" s="78">
        <f t="shared" si="5"/>
        <v>183733.14824921408</v>
      </c>
      <c r="AF28" s="78">
        <f>AF26+AF27</f>
        <v>196139.25039928145</v>
      </c>
      <c r="AG28" s="242">
        <f>AG26+AG27</f>
        <v>207697.4054389525</v>
      </c>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row>
    <row r="29" spans="1:83" s="3" customFormat="1" x14ac:dyDescent="0.2">
      <c r="A29" s="3" t="s">
        <v>15</v>
      </c>
      <c r="B29" s="3" t="s">
        <v>32</v>
      </c>
      <c r="D29" s="30" t="s">
        <v>12</v>
      </c>
      <c r="E29" s="30" t="s">
        <v>12</v>
      </c>
      <c r="F29" s="30" t="s">
        <v>12</v>
      </c>
      <c r="G29" s="30" t="s">
        <v>12</v>
      </c>
      <c r="H29" s="10">
        <v>70</v>
      </c>
      <c r="I29" s="10">
        <v>79</v>
      </c>
      <c r="J29" s="10">
        <v>61</v>
      </c>
      <c r="K29" s="10">
        <v>68</v>
      </c>
      <c r="L29" s="10">
        <v>53</v>
      </c>
      <c r="M29" s="10">
        <v>44</v>
      </c>
      <c r="N29" s="10">
        <v>41</v>
      </c>
      <c r="O29" s="10">
        <v>44</v>
      </c>
      <c r="P29" s="10">
        <v>54</v>
      </c>
      <c r="Q29" s="10">
        <v>43</v>
      </c>
      <c r="R29" s="120">
        <v>40</v>
      </c>
      <c r="S29" s="120">
        <v>36</v>
      </c>
      <c r="T29" s="120">
        <v>34</v>
      </c>
      <c r="U29" s="120">
        <v>31</v>
      </c>
      <c r="V29" s="202">
        <v>47</v>
      </c>
      <c r="W29" s="202">
        <v>57.981786999999997</v>
      </c>
      <c r="X29" s="202">
        <v>58.585501000000001</v>
      </c>
      <c r="Y29" s="221">
        <v>39.720883999999998</v>
      </c>
      <c r="Z29" s="221">
        <v>39.268236999999999</v>
      </c>
      <c r="AA29" s="221">
        <v>37.903300000000002</v>
      </c>
      <c r="AB29" s="466">
        <v>36.734502999999997</v>
      </c>
      <c r="AC29" s="476">
        <v>38</v>
      </c>
      <c r="AD29" s="528">
        <v>43.364365411764709</v>
      </c>
      <c r="AE29" s="528">
        <v>43.364365411764709</v>
      </c>
      <c r="AF29" s="528">
        <v>43.364365411764709</v>
      </c>
      <c r="AG29" s="529">
        <v>43.364365411764709</v>
      </c>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row>
    <row r="30" spans="1:83" x14ac:dyDescent="0.2">
      <c r="V30" s="201"/>
      <c r="W30" s="201"/>
      <c r="X30" s="201"/>
      <c r="Y30" s="201"/>
      <c r="Z30" s="201"/>
      <c r="AA30" s="201"/>
      <c r="AB30" s="465"/>
      <c r="AC30" s="520"/>
      <c r="AD30" s="521"/>
      <c r="AE30" s="521"/>
      <c r="AF30" s="521"/>
      <c r="AG30" s="522"/>
    </row>
    <row r="31" spans="1:83" x14ac:dyDescent="0.2">
      <c r="A31" s="2" t="s">
        <v>23</v>
      </c>
      <c r="B31" s="2"/>
      <c r="C31" s="2"/>
      <c r="D31" s="2"/>
      <c r="V31" s="201"/>
      <c r="W31" s="201"/>
      <c r="X31" s="201"/>
      <c r="Y31" s="201"/>
      <c r="Z31" s="201"/>
      <c r="AA31" s="201"/>
      <c r="AB31" s="465"/>
      <c r="AC31" s="520"/>
      <c r="AD31" s="521"/>
      <c r="AE31" s="521"/>
      <c r="AF31" s="521"/>
      <c r="AG31" s="522"/>
    </row>
    <row r="32" spans="1:83" s="3" customFormat="1" x14ac:dyDescent="0.2">
      <c r="A32" s="3" t="s">
        <v>16</v>
      </c>
      <c r="B32" s="3" t="s">
        <v>32</v>
      </c>
      <c r="D32" s="7">
        <v>526</v>
      </c>
      <c r="E32" s="7">
        <v>597</v>
      </c>
      <c r="F32" s="7">
        <v>674</v>
      </c>
      <c r="G32" s="7">
        <v>663</v>
      </c>
      <c r="H32" s="7">
        <v>710</v>
      </c>
      <c r="I32" s="7">
        <v>617</v>
      </c>
      <c r="J32" s="7">
        <v>610</v>
      </c>
      <c r="K32" s="7">
        <v>582</v>
      </c>
      <c r="L32" s="7">
        <v>607</v>
      </c>
      <c r="M32" s="7">
        <v>620</v>
      </c>
      <c r="N32" s="7">
        <v>615</v>
      </c>
      <c r="O32" s="7">
        <v>628</v>
      </c>
      <c r="P32" s="7">
        <v>664</v>
      </c>
      <c r="Q32" s="7">
        <v>693</v>
      </c>
      <c r="R32" s="118">
        <v>725</v>
      </c>
      <c r="S32" s="118">
        <v>771</v>
      </c>
      <c r="T32" s="118">
        <v>795</v>
      </c>
      <c r="U32" s="118">
        <v>1040</v>
      </c>
      <c r="V32" s="202">
        <v>1117</v>
      </c>
      <c r="W32" s="202">
        <v>1278</v>
      </c>
      <c r="X32" s="202">
        <v>1313</v>
      </c>
      <c r="Y32" s="221">
        <f>1377</f>
        <v>1377</v>
      </c>
      <c r="Z32" s="221">
        <v>1446</v>
      </c>
      <c r="AA32" s="221">
        <v>1511</v>
      </c>
      <c r="AB32" s="466">
        <v>1578</v>
      </c>
      <c r="AC32" s="476">
        <v>1615</v>
      </c>
      <c r="AD32" s="528">
        <v>1676.5191256830601</v>
      </c>
      <c r="AE32" s="528">
        <v>1744.1940655737703</v>
      </c>
      <c r="AF32" s="528">
        <v>1805.014361092896</v>
      </c>
      <c r="AG32" s="529">
        <v>1867.9422996841527</v>
      </c>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row>
    <row r="33" spans="1:83" s="3" customFormat="1" x14ac:dyDescent="0.2">
      <c r="A33" s="3" t="s">
        <v>17</v>
      </c>
      <c r="B33" s="3" t="s">
        <v>32</v>
      </c>
      <c r="D33" s="7">
        <v>8</v>
      </c>
      <c r="E33" s="7">
        <v>9</v>
      </c>
      <c r="F33" s="7">
        <v>46</v>
      </c>
      <c r="G33" s="7">
        <v>35</v>
      </c>
      <c r="H33" s="7">
        <v>9</v>
      </c>
      <c r="I33" s="7">
        <v>9</v>
      </c>
      <c r="J33" s="7">
        <v>9</v>
      </c>
      <c r="K33" s="7">
        <v>8</v>
      </c>
      <c r="L33" s="7">
        <v>14</v>
      </c>
      <c r="M33" s="7">
        <v>9</v>
      </c>
      <c r="N33" s="7">
        <v>9</v>
      </c>
      <c r="O33" s="7">
        <v>10</v>
      </c>
      <c r="P33" s="7">
        <v>11</v>
      </c>
      <c r="Q33" s="7">
        <v>12</v>
      </c>
      <c r="R33" s="118">
        <v>12</v>
      </c>
      <c r="S33" s="118">
        <v>13</v>
      </c>
      <c r="T33" s="118">
        <v>14</v>
      </c>
      <c r="U33" s="118">
        <v>19</v>
      </c>
      <c r="V33" s="202">
        <v>21</v>
      </c>
      <c r="W33" s="202">
        <v>24</v>
      </c>
      <c r="X33" s="202">
        <v>25.194857142857138</v>
      </c>
      <c r="Y33" s="221">
        <v>26</v>
      </c>
      <c r="Z33" s="221">
        <v>27.716232142857141</v>
      </c>
      <c r="AA33" s="221">
        <v>29</v>
      </c>
      <c r="AB33" s="466">
        <v>32</v>
      </c>
      <c r="AC33" s="476">
        <v>33</v>
      </c>
      <c r="AD33" s="528">
        <v>34.361475409836068</v>
      </c>
      <c r="AE33" s="528">
        <v>35.774939344262293</v>
      </c>
      <c r="AF33" s="528">
        <v>37.04523665573771</v>
      </c>
      <c r="AG33" s="529">
        <v>38.359554360491806</v>
      </c>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row>
    <row r="34" spans="1:83" s="3" customFormat="1" x14ac:dyDescent="0.2">
      <c r="A34" s="3" t="s">
        <v>18</v>
      </c>
      <c r="B34" s="3" t="s">
        <v>32</v>
      </c>
      <c r="D34" s="7"/>
      <c r="E34" s="7"/>
      <c r="F34" s="7"/>
      <c r="G34" s="7"/>
      <c r="H34" s="7">
        <v>22</v>
      </c>
      <c r="I34" s="7">
        <v>19</v>
      </c>
      <c r="J34" s="7">
        <v>10</v>
      </c>
      <c r="K34" s="7">
        <v>9</v>
      </c>
      <c r="L34" s="7">
        <v>5</v>
      </c>
      <c r="M34" s="7">
        <v>10</v>
      </c>
      <c r="N34" s="7">
        <v>9</v>
      </c>
      <c r="O34" s="7">
        <v>9</v>
      </c>
      <c r="P34" s="7">
        <v>18</v>
      </c>
      <c r="Q34" s="7">
        <v>17</v>
      </c>
      <c r="R34" s="118">
        <v>12</v>
      </c>
      <c r="S34" s="118">
        <v>10</v>
      </c>
      <c r="T34" s="118">
        <v>17</v>
      </c>
      <c r="U34" s="118">
        <v>19</v>
      </c>
      <c r="V34" s="202">
        <v>17</v>
      </c>
      <c r="W34" s="202">
        <v>13</v>
      </c>
      <c r="X34" s="202">
        <v>11</v>
      </c>
      <c r="Y34" s="221">
        <v>14</v>
      </c>
      <c r="Z34" s="221">
        <v>12</v>
      </c>
      <c r="AA34" s="221">
        <v>14</v>
      </c>
      <c r="AB34" s="466">
        <v>13</v>
      </c>
      <c r="AC34" s="476">
        <v>14</v>
      </c>
      <c r="AD34" s="528">
        <v>13</v>
      </c>
      <c r="AE34" s="528">
        <v>13</v>
      </c>
      <c r="AF34" s="528">
        <v>13</v>
      </c>
      <c r="AG34" s="529">
        <v>13</v>
      </c>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row>
    <row r="35" spans="1:83" s="3" customFormat="1" x14ac:dyDescent="0.2">
      <c r="A35" s="3" t="s">
        <v>19</v>
      </c>
      <c r="B35" s="3" t="s">
        <v>32</v>
      </c>
      <c r="D35" s="7">
        <v>579</v>
      </c>
      <c r="E35" s="7">
        <v>654</v>
      </c>
      <c r="F35" s="7">
        <v>731</v>
      </c>
      <c r="G35" s="7">
        <v>703</v>
      </c>
      <c r="H35" s="7">
        <v>695</v>
      </c>
      <c r="I35" s="7">
        <v>660</v>
      </c>
      <c r="J35" s="7">
        <v>664</v>
      </c>
      <c r="K35" s="7">
        <v>641</v>
      </c>
      <c r="L35" s="7">
        <v>639</v>
      </c>
      <c r="M35" s="7">
        <v>646</v>
      </c>
      <c r="N35" s="7">
        <v>648</v>
      </c>
      <c r="O35" s="7">
        <v>665</v>
      </c>
      <c r="P35" s="7">
        <v>690</v>
      </c>
      <c r="Q35" s="7">
        <v>713</v>
      </c>
      <c r="R35" s="118">
        <v>746</v>
      </c>
      <c r="S35" s="118">
        <v>781</v>
      </c>
      <c r="T35" s="118">
        <v>820</v>
      </c>
      <c r="U35" s="118">
        <v>1060</v>
      </c>
      <c r="V35" s="202">
        <v>1156</v>
      </c>
      <c r="W35" s="202">
        <v>1408</v>
      </c>
      <c r="X35" s="202">
        <v>1348</v>
      </c>
      <c r="Y35" s="221">
        <f>1406</f>
        <v>1406</v>
      </c>
      <c r="Z35" s="221">
        <v>1458</v>
      </c>
      <c r="AA35" s="221">
        <f>1527-AA36</f>
        <v>1526</v>
      </c>
      <c r="AB35" s="466">
        <f>1593-AB36</f>
        <v>1592</v>
      </c>
      <c r="AC35" s="476">
        <f>1637-AC36</f>
        <v>1636</v>
      </c>
      <c r="AD35" s="528">
        <v>1704.024043715847</v>
      </c>
      <c r="AE35" s="528">
        <v>1771.1849967213113</v>
      </c>
      <c r="AF35" s="528">
        <v>1831.5433659453552</v>
      </c>
      <c r="AG35" s="529">
        <v>1893.9933708257922</v>
      </c>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row>
    <row r="36" spans="1:83" s="121" customFormat="1" x14ac:dyDescent="0.2">
      <c r="A36" s="146" t="s">
        <v>408</v>
      </c>
      <c r="B36" s="121" t="s">
        <v>32</v>
      </c>
      <c r="D36" s="118"/>
      <c r="E36" s="118"/>
      <c r="F36" s="118"/>
      <c r="G36" s="118"/>
      <c r="H36" s="118"/>
      <c r="I36" s="118"/>
      <c r="J36" s="118"/>
      <c r="K36" s="118"/>
      <c r="L36" s="118"/>
      <c r="M36" s="118"/>
      <c r="N36" s="118"/>
      <c r="O36" s="118"/>
      <c r="P36" s="118"/>
      <c r="Q36" s="118"/>
      <c r="R36" s="118"/>
      <c r="S36" s="118"/>
      <c r="T36" s="118"/>
      <c r="U36" s="118"/>
      <c r="V36" s="202"/>
      <c r="W36" s="202"/>
      <c r="X36" s="202"/>
      <c r="Y36" s="221"/>
      <c r="Z36" s="221"/>
      <c r="AA36" s="221">
        <v>1</v>
      </c>
      <c r="AB36" s="466">
        <v>1</v>
      </c>
      <c r="AC36" s="476">
        <v>1</v>
      </c>
      <c r="AD36" s="528"/>
      <c r="AE36" s="528"/>
      <c r="AF36" s="528"/>
      <c r="AG36" s="529"/>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row>
    <row r="37" spans="1:83" s="3" customFormat="1" x14ac:dyDescent="0.2">
      <c r="A37" s="3" t="s">
        <v>20</v>
      </c>
      <c r="B37" s="3" t="s">
        <v>32</v>
      </c>
      <c r="D37" s="7">
        <v>187</v>
      </c>
      <c r="E37" s="7">
        <v>270</v>
      </c>
      <c r="F37" s="7">
        <v>438</v>
      </c>
      <c r="G37" s="7">
        <v>0</v>
      </c>
      <c r="H37" s="7">
        <v>0</v>
      </c>
      <c r="I37" s="7">
        <v>0</v>
      </c>
      <c r="J37" s="7">
        <v>152</v>
      </c>
      <c r="K37" s="7">
        <v>456</v>
      </c>
      <c r="L37" s="7">
        <v>492</v>
      </c>
      <c r="M37" s="7">
        <v>128</v>
      </c>
      <c r="N37" s="7">
        <v>0</v>
      </c>
      <c r="O37" s="7">
        <v>0</v>
      </c>
      <c r="P37" s="7"/>
      <c r="Q37" s="7"/>
      <c r="R37" s="118"/>
      <c r="S37" s="118"/>
      <c r="T37" s="118"/>
      <c r="U37" s="118"/>
      <c r="V37" s="202"/>
      <c r="W37" s="202"/>
      <c r="X37" s="202"/>
      <c r="Y37" s="221"/>
      <c r="Z37" s="221"/>
      <c r="AA37" s="221"/>
      <c r="AB37" s="467"/>
      <c r="AC37" s="531"/>
      <c r="AD37" s="532"/>
      <c r="AE37" s="532"/>
      <c r="AF37" s="532"/>
      <c r="AG37" s="533"/>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row>
    <row r="38" spans="1:83" s="8" customFormat="1" x14ac:dyDescent="0.2">
      <c r="A38" s="8" t="s">
        <v>21</v>
      </c>
      <c r="B38" s="8" t="s">
        <v>31</v>
      </c>
      <c r="D38" s="8">
        <f>SUM(D32:D37)</f>
        <v>1300</v>
      </c>
      <c r="E38" s="8">
        <f>SUM(E32:E37)</f>
        <v>1530</v>
      </c>
      <c r="F38" s="8">
        <f t="shared" ref="F38:R38" si="6">SUM(F32:F37)</f>
        <v>1889</v>
      </c>
      <c r="G38" s="8">
        <f t="shared" si="6"/>
        <v>1401</v>
      </c>
      <c r="H38" s="8">
        <f t="shared" si="6"/>
        <v>1436</v>
      </c>
      <c r="I38" s="8">
        <f t="shared" si="6"/>
        <v>1305</v>
      </c>
      <c r="J38" s="8">
        <f t="shared" si="6"/>
        <v>1445</v>
      </c>
      <c r="K38" s="8">
        <f t="shared" si="6"/>
        <v>1696</v>
      </c>
      <c r="L38" s="8">
        <f t="shared" si="6"/>
        <v>1757</v>
      </c>
      <c r="M38" s="8">
        <f t="shared" si="6"/>
        <v>1413</v>
      </c>
      <c r="N38" s="8">
        <f t="shared" si="6"/>
        <v>1281</v>
      </c>
      <c r="O38" s="8">
        <f t="shared" si="6"/>
        <v>1312</v>
      </c>
      <c r="P38" s="8">
        <f t="shared" si="6"/>
        <v>1383</v>
      </c>
      <c r="Q38" s="8">
        <f t="shared" si="6"/>
        <v>1435</v>
      </c>
      <c r="R38" s="119">
        <f t="shared" si="6"/>
        <v>1495</v>
      </c>
      <c r="S38" s="119">
        <f t="shared" ref="S38:AE38" si="7">SUM(S32:S37)</f>
        <v>1575</v>
      </c>
      <c r="T38" s="119">
        <f t="shared" si="7"/>
        <v>1646</v>
      </c>
      <c r="U38" s="119">
        <f t="shared" si="7"/>
        <v>2138</v>
      </c>
      <c r="V38" s="200">
        <f t="shared" si="7"/>
        <v>2311</v>
      </c>
      <c r="W38" s="200">
        <f t="shared" si="7"/>
        <v>2723</v>
      </c>
      <c r="X38" s="200">
        <f t="shared" si="7"/>
        <v>2697.1948571428575</v>
      </c>
      <c r="Y38" s="299">
        <f>SUM(Y32:Y37)</f>
        <v>2823</v>
      </c>
      <c r="Z38" s="200">
        <f t="shared" si="7"/>
        <v>2943.7162321428568</v>
      </c>
      <c r="AA38" s="200">
        <f>SUM(AA32:AA37)</f>
        <v>3081</v>
      </c>
      <c r="AB38" s="469">
        <f t="shared" si="7"/>
        <v>3216</v>
      </c>
      <c r="AC38" s="477">
        <f t="shared" si="7"/>
        <v>3299</v>
      </c>
      <c r="AD38" s="78">
        <f t="shared" si="7"/>
        <v>3427.9046448087429</v>
      </c>
      <c r="AE38" s="78">
        <f t="shared" si="7"/>
        <v>3564.1540016393437</v>
      </c>
      <c r="AF38" s="78">
        <f>SUM(AF32:AF37)</f>
        <v>3686.6029636939888</v>
      </c>
      <c r="AG38" s="242">
        <f>SUM(AG32:AG37)</f>
        <v>3813.2952248704369</v>
      </c>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row>
    <row r="39" spans="1:83" s="3" customFormat="1" x14ac:dyDescent="0.2">
      <c r="R39" s="121"/>
      <c r="S39" s="121"/>
      <c r="T39" s="121"/>
      <c r="U39" s="121"/>
      <c r="V39" s="203"/>
      <c r="W39" s="203"/>
      <c r="X39" s="203"/>
      <c r="Y39" s="203"/>
      <c r="Z39" s="203"/>
      <c r="AA39" s="203"/>
      <c r="AB39" s="470"/>
      <c r="AC39" s="534"/>
      <c r="AD39" s="237"/>
      <c r="AE39" s="237"/>
      <c r="AF39" s="237"/>
      <c r="AG39" s="302"/>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row>
    <row r="40" spans="1:83" s="3" customFormat="1" x14ac:dyDescent="0.2">
      <c r="A40" s="12" t="s">
        <v>25</v>
      </c>
      <c r="B40" s="9" t="s">
        <v>28</v>
      </c>
      <c r="C40" s="9"/>
      <c r="D40" s="10">
        <v>14</v>
      </c>
      <c r="E40" s="7">
        <v>14</v>
      </c>
      <c r="F40" s="7">
        <v>14</v>
      </c>
      <c r="G40" s="7">
        <v>14</v>
      </c>
      <c r="H40" s="7">
        <v>14</v>
      </c>
      <c r="I40" s="7">
        <v>14</v>
      </c>
      <c r="J40" s="7">
        <v>14</v>
      </c>
      <c r="K40" s="7">
        <v>13</v>
      </c>
      <c r="L40" s="7">
        <v>13</v>
      </c>
      <c r="M40" s="7">
        <v>14</v>
      </c>
      <c r="N40" s="7">
        <v>14</v>
      </c>
      <c r="O40" s="7">
        <v>13</v>
      </c>
      <c r="P40" s="48">
        <v>13</v>
      </c>
      <c r="Q40" s="48">
        <v>13</v>
      </c>
      <c r="R40" s="122">
        <v>13</v>
      </c>
      <c r="S40" s="122">
        <v>13</v>
      </c>
      <c r="T40" s="122">
        <v>13.6</v>
      </c>
      <c r="U40" s="122">
        <v>13.8</v>
      </c>
      <c r="V40" s="204">
        <v>14</v>
      </c>
      <c r="W40" s="219">
        <v>14</v>
      </c>
      <c r="X40" s="219">
        <v>13.9</v>
      </c>
      <c r="Y40" s="219">
        <v>14.1</v>
      </c>
      <c r="Z40" s="219">
        <v>14.6</v>
      </c>
      <c r="AA40" s="219">
        <v>14.5</v>
      </c>
      <c r="AB40" s="471">
        <v>14.4</v>
      </c>
      <c r="AC40" s="535">
        <v>15.3</v>
      </c>
      <c r="AD40" s="536">
        <f t="shared" ref="AD40:AG40" si="8">+AC40</f>
        <v>15.3</v>
      </c>
      <c r="AE40" s="536">
        <f t="shared" si="8"/>
        <v>15.3</v>
      </c>
      <c r="AF40" s="536">
        <f t="shared" si="8"/>
        <v>15.3</v>
      </c>
      <c r="AG40" s="537">
        <f t="shared" si="8"/>
        <v>15.3</v>
      </c>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row>
    <row r="41" spans="1:83" x14ac:dyDescent="0.2">
      <c r="V41" s="201"/>
      <c r="W41" s="201"/>
      <c r="X41" s="201"/>
      <c r="Y41" s="201"/>
      <c r="Z41" s="201"/>
      <c r="AA41" s="201"/>
      <c r="AB41" s="465"/>
      <c r="AC41" s="520"/>
      <c r="AD41" s="521"/>
      <c r="AE41" s="521"/>
      <c r="AF41" s="521"/>
      <c r="AG41" s="522"/>
    </row>
    <row r="42" spans="1:83" s="2" customFormat="1" x14ac:dyDescent="0.2">
      <c r="A42" s="2" t="s">
        <v>24</v>
      </c>
      <c r="D42" s="13" t="s">
        <v>193</v>
      </c>
      <c r="E42" s="13" t="s">
        <v>34</v>
      </c>
      <c r="F42" s="13" t="s">
        <v>35</v>
      </c>
      <c r="G42" s="13" t="s">
        <v>36</v>
      </c>
      <c r="H42" s="13" t="s">
        <v>37</v>
      </c>
      <c r="I42" s="13" t="s">
        <v>38</v>
      </c>
      <c r="J42" s="13" t="s">
        <v>39</v>
      </c>
      <c r="K42" s="13" t="s">
        <v>40</v>
      </c>
      <c r="L42" s="13" t="s">
        <v>41</v>
      </c>
      <c r="M42" s="13" t="s">
        <v>42</v>
      </c>
      <c r="N42" s="13" t="s">
        <v>43</v>
      </c>
      <c r="O42" s="13" t="s">
        <v>44</v>
      </c>
      <c r="P42" s="13" t="s">
        <v>45</v>
      </c>
      <c r="Q42" s="13" t="s">
        <v>168</v>
      </c>
      <c r="R42" s="123" t="s">
        <v>169</v>
      </c>
      <c r="S42" s="123" t="s">
        <v>170</v>
      </c>
      <c r="T42" s="123" t="s">
        <v>171</v>
      </c>
      <c r="U42" s="123" t="s">
        <v>172</v>
      </c>
      <c r="V42" s="205" t="s">
        <v>173</v>
      </c>
      <c r="W42" s="205" t="s">
        <v>174</v>
      </c>
      <c r="X42" s="205" t="s">
        <v>175</v>
      </c>
      <c r="Y42" s="205" t="s">
        <v>176</v>
      </c>
      <c r="Z42" s="205" t="s">
        <v>177</v>
      </c>
      <c r="AA42" s="205" t="s">
        <v>177</v>
      </c>
      <c r="AB42" s="472" t="s">
        <v>178</v>
      </c>
      <c r="AC42" s="478" t="s">
        <v>294</v>
      </c>
      <c r="AD42" s="538" t="s">
        <v>309</v>
      </c>
      <c r="AE42" s="538" t="s">
        <v>315</v>
      </c>
      <c r="AF42" s="538" t="s">
        <v>317</v>
      </c>
      <c r="AG42" s="539" t="s">
        <v>317</v>
      </c>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row>
    <row r="43" spans="1:83" s="3" customFormat="1" x14ac:dyDescent="0.2">
      <c r="A43" s="3" t="s">
        <v>19</v>
      </c>
      <c r="B43" s="3" t="s">
        <v>33</v>
      </c>
      <c r="D43" s="7">
        <v>409</v>
      </c>
      <c r="E43" s="7">
        <v>598</v>
      </c>
      <c r="F43" s="7">
        <v>605</v>
      </c>
      <c r="G43" s="7">
        <v>591</v>
      </c>
      <c r="H43" s="7">
        <v>566</v>
      </c>
      <c r="I43" s="7">
        <v>686</v>
      </c>
      <c r="J43" s="7">
        <v>926</v>
      </c>
      <c r="K43" s="7">
        <v>1132</v>
      </c>
      <c r="L43" s="7">
        <v>1109</v>
      </c>
      <c r="M43" s="7">
        <v>667</v>
      </c>
      <c r="N43" s="7">
        <v>635</v>
      </c>
      <c r="O43" s="7">
        <v>645.03436999999997</v>
      </c>
      <c r="P43" s="7">
        <v>676.24282600000004</v>
      </c>
      <c r="Q43" s="7">
        <v>682.943175</v>
      </c>
      <c r="R43" s="118">
        <v>708.14363400000002</v>
      </c>
      <c r="S43" s="118">
        <v>740.20953299999996</v>
      </c>
      <c r="T43" s="118">
        <v>795.11688900000001</v>
      </c>
      <c r="U43" s="118">
        <v>808.21466899999996</v>
      </c>
      <c r="V43" s="199">
        <v>1070</v>
      </c>
      <c r="W43" s="199">
        <v>1244.570158</v>
      </c>
      <c r="X43" s="199">
        <v>1316.2618660000001</v>
      </c>
      <c r="Y43" s="199">
        <f>1343.812957</f>
        <v>1343.8129570000001</v>
      </c>
      <c r="Z43" s="199">
        <v>1393.0569660000001</v>
      </c>
      <c r="AA43" s="199">
        <f>1460.755949-1</f>
        <v>1459.7559490000001</v>
      </c>
      <c r="AB43" s="466">
        <f>1525.800671-AB44</f>
        <v>1524.800671</v>
      </c>
      <c r="AC43" s="476">
        <f>1598.2380873-AC44</f>
        <v>1597.2380873</v>
      </c>
      <c r="AD43" s="528">
        <v>1664.1763250155739</v>
      </c>
      <c r="AE43" s="528">
        <v>1732.632443033782</v>
      </c>
      <c r="AF43" s="528">
        <v>1794.1547928826822</v>
      </c>
      <c r="AG43" s="529">
        <v>1857.8091145237856</v>
      </c>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row>
    <row r="44" spans="1:83" s="121" customFormat="1" x14ac:dyDescent="0.2">
      <c r="A44" s="146" t="s">
        <v>408</v>
      </c>
      <c r="B44" s="121" t="s">
        <v>33</v>
      </c>
      <c r="D44" s="118"/>
      <c r="E44" s="118"/>
      <c r="F44" s="118"/>
      <c r="G44" s="118"/>
      <c r="H44" s="118"/>
      <c r="I44" s="118"/>
      <c r="J44" s="118"/>
      <c r="K44" s="118"/>
      <c r="L44" s="118"/>
      <c r="M44" s="118"/>
      <c r="N44" s="118"/>
      <c r="O44" s="118"/>
      <c r="P44" s="118"/>
      <c r="Q44" s="118"/>
      <c r="R44" s="118"/>
      <c r="S44" s="118"/>
      <c r="T44" s="118"/>
      <c r="U44" s="118"/>
      <c r="V44" s="199"/>
      <c r="W44" s="199"/>
      <c r="X44" s="199"/>
      <c r="Y44" s="199"/>
      <c r="Z44" s="199"/>
      <c r="AA44" s="199">
        <f>AA36</f>
        <v>1</v>
      </c>
      <c r="AB44" s="466">
        <v>1</v>
      </c>
      <c r="AC44" s="476">
        <v>1</v>
      </c>
      <c r="AD44" s="528"/>
      <c r="AE44" s="528"/>
      <c r="AF44" s="528"/>
      <c r="AG44" s="529"/>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row>
    <row r="45" spans="1:83" s="3" customFormat="1" x14ac:dyDescent="0.2">
      <c r="A45" s="3" t="s">
        <v>20</v>
      </c>
      <c r="B45" s="3" t="s">
        <v>33</v>
      </c>
      <c r="D45" s="7">
        <v>246</v>
      </c>
      <c r="E45" s="7">
        <v>274</v>
      </c>
      <c r="F45" s="7">
        <v>328</v>
      </c>
      <c r="G45" s="7">
        <v>-150</v>
      </c>
      <c r="H45" s="7">
        <v>0</v>
      </c>
      <c r="I45" s="7">
        <v>0</v>
      </c>
      <c r="J45" s="7">
        <v>0</v>
      </c>
      <c r="K45" s="7">
        <v>0</v>
      </c>
      <c r="L45" s="7">
        <v>0</v>
      </c>
      <c r="M45" s="7">
        <v>0</v>
      </c>
      <c r="N45" s="7">
        <v>0</v>
      </c>
      <c r="O45" s="7">
        <v>0</v>
      </c>
      <c r="P45" s="7">
        <v>0</v>
      </c>
      <c r="Q45" s="7">
        <v>0</v>
      </c>
      <c r="R45" s="118">
        <v>0</v>
      </c>
      <c r="S45" s="118">
        <v>0</v>
      </c>
      <c r="T45" s="118">
        <v>0</v>
      </c>
      <c r="U45" s="118">
        <v>0</v>
      </c>
      <c r="V45" s="199">
        <v>0</v>
      </c>
      <c r="W45" s="199">
        <v>0</v>
      </c>
      <c r="X45" s="199">
        <v>0</v>
      </c>
      <c r="Y45" s="199">
        <v>0</v>
      </c>
      <c r="Z45" s="199">
        <v>0</v>
      </c>
      <c r="AA45" s="199">
        <v>0</v>
      </c>
      <c r="AB45" s="467">
        <v>0</v>
      </c>
      <c r="AC45" s="531">
        <v>0</v>
      </c>
      <c r="AD45" s="532">
        <v>0</v>
      </c>
      <c r="AE45" s="532">
        <v>0</v>
      </c>
      <c r="AF45" s="532">
        <v>0</v>
      </c>
      <c r="AG45" s="533">
        <v>0</v>
      </c>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row>
    <row r="46" spans="1:83" s="14" customFormat="1" x14ac:dyDescent="0.2">
      <c r="A46" s="8" t="s">
        <v>21</v>
      </c>
      <c r="B46" s="14" t="s">
        <v>31</v>
      </c>
      <c r="D46" s="15">
        <f>D43+D45</f>
        <v>655</v>
      </c>
      <c r="E46" s="15">
        <f>E43+E45</f>
        <v>872</v>
      </c>
      <c r="F46" s="15">
        <f t="shared" ref="F46:R46" si="9">F43+F45</f>
        <v>933</v>
      </c>
      <c r="G46" s="15">
        <f t="shared" si="9"/>
        <v>441</v>
      </c>
      <c r="H46" s="15">
        <f t="shared" si="9"/>
        <v>566</v>
      </c>
      <c r="I46" s="15">
        <f t="shared" si="9"/>
        <v>686</v>
      </c>
      <c r="J46" s="15">
        <f t="shared" si="9"/>
        <v>926</v>
      </c>
      <c r="K46" s="15">
        <f t="shared" si="9"/>
        <v>1132</v>
      </c>
      <c r="L46" s="15">
        <f t="shared" si="9"/>
        <v>1109</v>
      </c>
      <c r="M46" s="15">
        <f t="shared" si="9"/>
        <v>667</v>
      </c>
      <c r="N46" s="15">
        <f t="shared" si="9"/>
        <v>635</v>
      </c>
      <c r="O46" s="15">
        <f t="shared" si="9"/>
        <v>645.03436999999997</v>
      </c>
      <c r="P46" s="15">
        <f t="shared" si="9"/>
        <v>676.24282600000004</v>
      </c>
      <c r="Q46" s="15">
        <f t="shared" si="9"/>
        <v>682.943175</v>
      </c>
      <c r="R46" s="124">
        <f t="shared" si="9"/>
        <v>708.14363400000002</v>
      </c>
      <c r="S46" s="124">
        <f t="shared" ref="S46:AE46" si="10">S43+S45</f>
        <v>740.20953299999996</v>
      </c>
      <c r="T46" s="124">
        <f t="shared" si="10"/>
        <v>795.11688900000001</v>
      </c>
      <c r="U46" s="124">
        <f t="shared" si="10"/>
        <v>808.21466899999996</v>
      </c>
      <c r="V46" s="206">
        <f t="shared" si="10"/>
        <v>1070</v>
      </c>
      <c r="W46" s="206">
        <f t="shared" si="10"/>
        <v>1244.570158</v>
      </c>
      <c r="X46" s="206">
        <f t="shared" si="10"/>
        <v>1316.2618660000001</v>
      </c>
      <c r="Y46" s="300">
        <f>Y43+Y44+Y45</f>
        <v>1343.8129570000001</v>
      </c>
      <c r="Z46" s="206">
        <f t="shared" si="10"/>
        <v>1393.0569660000001</v>
      </c>
      <c r="AA46" s="206">
        <f>AA43+AA45+AA44</f>
        <v>1460.7559490000001</v>
      </c>
      <c r="AB46" s="206">
        <f>AB43+AB45+AB44</f>
        <v>1525.800671</v>
      </c>
      <c r="AC46" s="540">
        <f>AC43+AC45+AC44</f>
        <v>1598.2380873</v>
      </c>
      <c r="AD46" s="80">
        <f t="shared" si="10"/>
        <v>1664.1763250155739</v>
      </c>
      <c r="AE46" s="80">
        <f t="shared" si="10"/>
        <v>1732.632443033782</v>
      </c>
      <c r="AF46" s="80">
        <f>AF43+AF45</f>
        <v>1794.1547928826822</v>
      </c>
      <c r="AG46" s="273">
        <f>AG43+AG45</f>
        <v>1857.8091145237856</v>
      </c>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row>
    <row r="47" spans="1:83" x14ac:dyDescent="0.2">
      <c r="AC47" s="459"/>
      <c r="AD47" s="191"/>
      <c r="AE47" s="191"/>
      <c r="AF47" s="191"/>
      <c r="AG47" s="257"/>
    </row>
    <row r="48" spans="1:83" ht="84" customHeight="1" x14ac:dyDescent="0.2">
      <c r="A48" s="647" t="s">
        <v>409</v>
      </c>
      <c r="B48" s="648"/>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29:29" x14ac:dyDescent="0.2">
      <c r="AC49" s="485"/>
    </row>
  </sheetData>
  <mergeCells count="1">
    <mergeCell ref="A48:B48"/>
  </mergeCells>
  <phoneticPr fontId="0" type="noConversion"/>
  <pageMargins left="0.51181102362204722" right="0.51181102362204722" top="0.74803149606299213" bottom="0.74803149606299213" header="0.51181102362204722" footer="0.51181102362204722"/>
  <pageSetup paperSize="3" scale="61" orientation="landscape" r:id="rId1"/>
  <headerFooter alignWithMargins="0">
    <oddFooter>&amp;L&amp;"Arial,Bold"&amp;F&amp;C&amp;A&amp;R&amp;D  &amp;T</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2"/>
  <sheetViews>
    <sheetView workbookViewId="0">
      <pane xSplit="1" ySplit="4" topLeftCell="J5" activePane="bottomRight" state="frozen"/>
      <selection activeCell="Y18" sqref="Y18"/>
      <selection pane="topRight" activeCell="Y18" sqref="Y18"/>
      <selection pane="bottomLeft" activeCell="Y18" sqref="Y18"/>
      <selection pane="bottomRight" activeCell="A40" sqref="A40"/>
    </sheetView>
  </sheetViews>
  <sheetFormatPr baseColWidth="10" defaultColWidth="9.140625" defaultRowHeight="12.75" outlineLevelCol="1" x14ac:dyDescent="0.2"/>
  <cols>
    <col min="1" max="1" width="48.140625" customWidth="1"/>
    <col min="2" max="2" width="20.28515625" customWidth="1"/>
    <col min="3" max="4" width="10.85546875" hidden="1" customWidth="1"/>
    <col min="5" max="6" width="0" hidden="1" customWidth="1"/>
    <col min="17" max="26" width="9.140625" style="115"/>
    <col min="27" max="27" width="9.140625" style="115" customWidth="1"/>
    <col min="28" max="28" width="9.140625" style="463" customWidth="1"/>
    <col min="29" max="31" width="9.140625" style="76" customWidth="1" outlineLevel="1"/>
    <col min="32" max="32" width="9.140625" style="238" customWidth="1" outlineLevel="1"/>
  </cols>
  <sheetData>
    <row r="1" spans="1:32" ht="15.75" x14ac:dyDescent="0.25">
      <c r="A1" s="18" t="s">
        <v>67</v>
      </c>
      <c r="B1" s="18"/>
    </row>
    <row r="2" spans="1:32" ht="15.75" x14ac:dyDescent="0.25">
      <c r="A2" s="2" t="s">
        <v>68</v>
      </c>
      <c r="B2" s="18"/>
    </row>
    <row r="3" spans="1:32" x14ac:dyDescent="0.2">
      <c r="Z3" s="338" t="s">
        <v>178</v>
      </c>
      <c r="AA3" s="338" t="s">
        <v>294</v>
      </c>
      <c r="AB3" s="460" t="s">
        <v>309</v>
      </c>
      <c r="AC3" s="309" t="s">
        <v>315</v>
      </c>
      <c r="AD3" s="309" t="s">
        <v>316</v>
      </c>
      <c r="AE3" s="309" t="s">
        <v>317</v>
      </c>
      <c r="AF3" s="31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474">
        <v>2015</v>
      </c>
      <c r="AC4" s="77">
        <v>2016</v>
      </c>
      <c r="AD4" s="77">
        <v>2017</v>
      </c>
      <c r="AE4" s="77">
        <v>2018</v>
      </c>
      <c r="AF4" s="239">
        <v>2019</v>
      </c>
    </row>
    <row r="7" spans="1:32" x14ac:dyDescent="0.2">
      <c r="A7" s="28" t="s">
        <v>47</v>
      </c>
    </row>
    <row r="8" spans="1:32" s="3" customFormat="1" x14ac:dyDescent="0.2">
      <c r="A8" s="3" t="s">
        <v>48</v>
      </c>
      <c r="B8" s="3" t="s">
        <v>49</v>
      </c>
      <c r="C8" s="3">
        <f>'Data Input'!C12</f>
        <v>21912</v>
      </c>
      <c r="D8" s="3">
        <f>'Data Input'!D12</f>
        <v>24391</v>
      </c>
      <c r="E8" s="3">
        <f>'Data Input'!E12</f>
        <v>27479</v>
      </c>
      <c r="F8" s="3">
        <f>'Data Input'!F12</f>
        <v>30781</v>
      </c>
      <c r="G8" s="3">
        <f>'Data Input'!G12</f>
        <v>33998</v>
      </c>
      <c r="H8" s="3">
        <f>'Data Input'!H12</f>
        <v>36848</v>
      </c>
      <c r="I8" s="3">
        <f>'Data Input'!I12</f>
        <v>39007</v>
      </c>
      <c r="J8" s="3">
        <f>'Data Input'!J12</f>
        <v>41833</v>
      </c>
      <c r="K8" s="3">
        <f>'Data Input'!K12</f>
        <v>46470</v>
      </c>
      <c r="L8" s="3">
        <f>'Data Input'!L12</f>
        <v>48635</v>
      </c>
      <c r="M8" s="3">
        <f>'Data Input'!M12</f>
        <v>50346</v>
      </c>
      <c r="N8" s="3">
        <f>'Data Input'!N12</f>
        <v>55087</v>
      </c>
      <c r="O8" s="3">
        <f>'Data Input'!O12</f>
        <v>64369</v>
      </c>
      <c r="P8" s="3">
        <f>'Data Input'!P12</f>
        <v>67319</v>
      </c>
      <c r="Q8" s="121">
        <f>'Data Input'!Q12</f>
        <v>71009</v>
      </c>
      <c r="R8" s="121">
        <f>'Data Input'!R12</f>
        <v>74089</v>
      </c>
      <c r="S8" s="121">
        <f>'Data Input'!S12</f>
        <v>80371</v>
      </c>
      <c r="T8" s="121">
        <f>'Data Input'!T12</f>
        <v>83120</v>
      </c>
      <c r="U8" s="121">
        <f>'Data Input'!U12</f>
        <v>88356</v>
      </c>
      <c r="V8" s="121">
        <f>'Data Input'!V12</f>
        <v>92022</v>
      </c>
      <c r="W8" s="121">
        <f>'Data Input'!W12</f>
        <v>96608</v>
      </c>
      <c r="X8" s="121">
        <f>'Data Input'!X12</f>
        <v>99117</v>
      </c>
      <c r="Y8" s="121">
        <f>'Data Input'!Y12</f>
        <v>103693</v>
      </c>
      <c r="Z8" s="121">
        <f>'Data Input'!Z12</f>
        <v>105954</v>
      </c>
      <c r="AA8" s="121">
        <f>'Data Input'!AA12</f>
        <v>109524</v>
      </c>
      <c r="AB8" s="480">
        <f>'Data Input'!AB12</f>
        <v>113801</v>
      </c>
      <c r="AC8" s="79">
        <f>'Data Input'!AC12</f>
        <v>116367</v>
      </c>
      <c r="AD8" s="79">
        <f>'Data Input'!AD12</f>
        <v>120891.15773981952</v>
      </c>
      <c r="AE8" s="79">
        <f>'Data Input'!AE12</f>
        <v>125674.54587496544</v>
      </c>
      <c r="AF8" s="240">
        <f>'Data Input'!AF12</f>
        <v>130724.77615093655</v>
      </c>
    </row>
    <row r="9" spans="1:32" s="3" customFormat="1" x14ac:dyDescent="0.2">
      <c r="A9" s="3" t="s">
        <v>51</v>
      </c>
      <c r="B9" s="3" t="s">
        <v>57</v>
      </c>
      <c r="C9" s="3">
        <f>'Data Input'!D14/2</f>
        <v>465</v>
      </c>
      <c r="D9" s="3">
        <f>'Data Input'!E14/2</f>
        <v>590</v>
      </c>
      <c r="E9" s="3">
        <f>'Data Input'!F14/2</f>
        <v>594</v>
      </c>
      <c r="F9" s="3">
        <f>'Data Input'!G14/2</f>
        <v>585</v>
      </c>
      <c r="G9" s="3">
        <f>'Data Input'!H14/2</f>
        <v>646</v>
      </c>
      <c r="H9" s="3">
        <f>'Data Input'!I14/2</f>
        <v>681.5</v>
      </c>
      <c r="I9" s="3">
        <f>'Data Input'!J14/2</f>
        <v>668.5</v>
      </c>
      <c r="J9" s="3">
        <f>'Data Input'!K14/2</f>
        <v>602</v>
      </c>
      <c r="K9" s="3">
        <f>'Data Input'!L14/2</f>
        <v>652.5</v>
      </c>
      <c r="L9" s="3">
        <f>'Data Input'!M14/2</f>
        <v>650.5</v>
      </c>
      <c r="M9" s="3">
        <f>'Data Input'!N14/2</f>
        <v>650</v>
      </c>
      <c r="N9" s="3">
        <f>'Data Input'!O14/2</f>
        <v>769.5</v>
      </c>
      <c r="O9" s="3">
        <f>'Data Input'!P14/2</f>
        <v>847.5</v>
      </c>
      <c r="P9" s="3">
        <f>'Data Input'!Q14/2</f>
        <v>867.5</v>
      </c>
      <c r="Q9" s="121">
        <f>'Data Input'!R14/2</f>
        <v>878</v>
      </c>
      <c r="R9" s="121">
        <f>'Data Input'!S14/2</f>
        <v>954.5</v>
      </c>
      <c r="S9" s="121">
        <f>'Data Input'!T14/2</f>
        <v>997.5</v>
      </c>
      <c r="T9" s="121">
        <f>'Data Input'!U14/2</f>
        <v>1051</v>
      </c>
      <c r="U9" s="121">
        <f>'Data Input'!V14/2</f>
        <v>1118</v>
      </c>
      <c r="V9" s="121">
        <f>'Data Input'!W14/2</f>
        <v>1174.5</v>
      </c>
      <c r="W9" s="121">
        <f>'Data Input'!X14/2</f>
        <v>1217</v>
      </c>
      <c r="X9" s="121">
        <f>'Data Input'!Y14/2</f>
        <v>1282.5</v>
      </c>
      <c r="Y9" s="121">
        <f>'Data Input'!Z14/2</f>
        <v>1395.5</v>
      </c>
      <c r="Z9" s="121">
        <f>'Data Input'!AA14/2</f>
        <v>1327</v>
      </c>
      <c r="AA9" s="121">
        <f>'Data Input'!AB14/2</f>
        <v>1462</v>
      </c>
      <c r="AB9" s="480">
        <f>'Data Input'!AC14/2</f>
        <v>1451</v>
      </c>
      <c r="AC9" s="79">
        <f>'Data Input'!AD14/2</f>
        <v>1511.796875</v>
      </c>
      <c r="AD9" s="79">
        <f>'Data Input'!AE14/2</f>
        <v>1631.0513452148434</v>
      </c>
      <c r="AE9" s="79">
        <f>'Data Input'!AF14/2</f>
        <v>1750.202044587707</v>
      </c>
      <c r="AF9" s="240">
        <f>'Data Input'!AG14/2</f>
        <v>1878.0037412594415</v>
      </c>
    </row>
    <row r="10" spans="1:32" s="121" customFormat="1" x14ac:dyDescent="0.2">
      <c r="A10" s="121" t="s">
        <v>340</v>
      </c>
      <c r="S10" s="121">
        <f>'Data Input'!T15/2</f>
        <v>8.5</v>
      </c>
      <c r="T10" s="121">
        <f>'Data Input'!U15/2</f>
        <v>9.5</v>
      </c>
      <c r="U10" s="121">
        <f>'Data Input'!V15/2</f>
        <v>8.5</v>
      </c>
      <c r="V10" s="121">
        <f>'Data Input'!W15/2</f>
        <v>6.5</v>
      </c>
      <c r="W10" s="121">
        <f>'Data Input'!X15/2</f>
        <v>5.5</v>
      </c>
      <c r="X10" s="121">
        <f>'Data Input'!Y15/2</f>
        <v>7.5</v>
      </c>
      <c r="Y10" s="121">
        <f>'Data Input'!Z15/2</f>
        <v>6.5</v>
      </c>
      <c r="Z10" s="121">
        <f>'Data Input'!AA15/2</f>
        <v>6.5</v>
      </c>
      <c r="AA10" s="121">
        <f>'Data Input'!AB15/2</f>
        <v>6.5</v>
      </c>
      <c r="AB10" s="480">
        <f>'Data Input'!AC15/2</f>
        <v>7</v>
      </c>
      <c r="AC10" s="79">
        <f>'Data Input'!AD15/2</f>
        <v>6.5</v>
      </c>
      <c r="AD10" s="79">
        <f>'Data Input'!AE15/2</f>
        <v>6.5</v>
      </c>
      <c r="AE10" s="79">
        <f>'Data Input'!AF15/2</f>
        <v>6.5</v>
      </c>
      <c r="AF10" s="240">
        <f>'Data Input'!AG15/2</f>
        <v>6.5</v>
      </c>
    </row>
    <row r="11" spans="1:32" s="3" customFormat="1" x14ac:dyDescent="0.2">
      <c r="A11" s="3" t="s">
        <v>52</v>
      </c>
      <c r="B11" s="3" t="s">
        <v>57</v>
      </c>
      <c r="C11" s="3">
        <f>'Data Input'!D16/2</f>
        <v>0</v>
      </c>
      <c r="D11" s="3">
        <f>'Data Input'!E16/2</f>
        <v>0</v>
      </c>
      <c r="E11" s="3">
        <f>'Data Input'!F16/2</f>
        <v>0</v>
      </c>
      <c r="F11" s="3">
        <f>'Data Input'!G16/2</f>
        <v>0</v>
      </c>
      <c r="G11" s="3">
        <f>'Data Input'!H16/2</f>
        <v>0</v>
      </c>
      <c r="H11" s="3">
        <f>'Data Input'!I16/2</f>
        <v>0</v>
      </c>
      <c r="I11" s="3">
        <f>'Data Input'!J16/2</f>
        <v>129</v>
      </c>
      <c r="J11" s="3">
        <f>'Data Input'!K16/2</f>
        <v>1006.5</v>
      </c>
      <c r="K11" s="3">
        <f>'Data Input'!L17/2</f>
        <v>190</v>
      </c>
      <c r="L11" s="3">
        <f>'Data Input'!M16/2</f>
        <v>0</v>
      </c>
      <c r="M11" s="3">
        <f>'Data Input'!N16/2</f>
        <v>0</v>
      </c>
      <c r="N11" s="3">
        <f>'Data Input'!O16/2</f>
        <v>2259.5</v>
      </c>
      <c r="O11" s="3">
        <f>'Data Input'!P16/2</f>
        <v>0</v>
      </c>
      <c r="P11" s="3">
        <f>'Data Input'!Q16/2</f>
        <v>0</v>
      </c>
      <c r="Q11" s="121">
        <f>'Data Input'!R16/2</f>
        <v>0</v>
      </c>
      <c r="R11" s="121">
        <f>'Data Input'!S16/2</f>
        <v>0</v>
      </c>
      <c r="S11" s="121">
        <f>'Data Input'!T16/2</f>
        <v>0</v>
      </c>
      <c r="T11" s="121">
        <f>'Data Input'!U16/2</f>
        <v>0</v>
      </c>
      <c r="U11" s="121">
        <f>'Data Input'!V16/2</f>
        <v>0</v>
      </c>
      <c r="V11" s="121">
        <f>'Data Input'!W16/2</f>
        <v>0</v>
      </c>
      <c r="W11" s="121">
        <f>'Data Input'!X16/2</f>
        <v>0</v>
      </c>
      <c r="X11" s="121">
        <f>'Data Input'!Y16/2</f>
        <v>0</v>
      </c>
      <c r="Y11" s="121">
        <f>'Data Input'!Z16/2</f>
        <v>0</v>
      </c>
      <c r="Z11" s="121">
        <f>'Data Input'!AA16/2</f>
        <v>0</v>
      </c>
      <c r="AA11" s="121">
        <f>'Data Input'!AB16/2</f>
        <v>0</v>
      </c>
      <c r="AB11" s="480">
        <f>'Data Input'!AC16/2</f>
        <v>0</v>
      </c>
      <c r="AC11" s="79">
        <f>'Data Input'!AD16/2</f>
        <v>0</v>
      </c>
      <c r="AD11" s="79">
        <f>'Data Input'!AE16/2</f>
        <v>0</v>
      </c>
      <c r="AE11" s="79">
        <f>'Data Input'!AF16/2</f>
        <v>0</v>
      </c>
      <c r="AF11" s="240">
        <f>'Data Input'!AG16/2</f>
        <v>0</v>
      </c>
    </row>
    <row r="12" spans="1:32" s="3" customFormat="1" x14ac:dyDescent="0.2">
      <c r="A12" s="3" t="s">
        <v>53</v>
      </c>
      <c r="B12" s="3" t="s">
        <v>57</v>
      </c>
      <c r="C12" s="6">
        <f>'Data Input'!D18/2</f>
        <v>-380</v>
      </c>
      <c r="D12" s="6">
        <f>'Data Input'!E18/2</f>
        <v>-414.5</v>
      </c>
      <c r="E12" s="6">
        <f>'Data Input'!F18/2</f>
        <v>-460.5</v>
      </c>
      <c r="F12" s="6">
        <f>'Data Input'!G18/2</f>
        <v>-500.5</v>
      </c>
      <c r="G12" s="6">
        <f>'Data Input'!H18/2</f>
        <v>-565</v>
      </c>
      <c r="H12" s="6">
        <f>'Data Input'!I18/2</f>
        <v>-630.5</v>
      </c>
      <c r="I12" s="6">
        <f>'Data Input'!J18/2</f>
        <v>-760</v>
      </c>
      <c r="J12" s="6">
        <f>'Data Input'!K18/2</f>
        <v>-901</v>
      </c>
      <c r="K12" s="6">
        <f>'Data Input'!L18/2</f>
        <v>-1051.5</v>
      </c>
      <c r="L12" s="6">
        <f>'Data Input'!M18/2</f>
        <v>-1139</v>
      </c>
      <c r="M12" s="6">
        <f>'Data Input'!N18/2</f>
        <v>-1270.5</v>
      </c>
      <c r="N12" s="6">
        <f>'Data Input'!O18/2</f>
        <v>-1540</v>
      </c>
      <c r="O12" s="6">
        <f>'Data Input'!P18/2</f>
        <v>-1538</v>
      </c>
      <c r="P12" s="6">
        <f>'Data Input'!Q18/2</f>
        <v>-1599.5</v>
      </c>
      <c r="Q12" s="125">
        <f>'Data Input'!R18/2</f>
        <v>-1714</v>
      </c>
      <c r="R12" s="125">
        <f>'Data Input'!S18/2</f>
        <v>-1810</v>
      </c>
      <c r="S12" s="125">
        <f>'Data Input'!T18/2</f>
        <v>-1909</v>
      </c>
      <c r="T12" s="125">
        <f>'Data Input'!U18/2</f>
        <v>-2010</v>
      </c>
      <c r="U12" s="125">
        <f>'Data Input'!V18/2</f>
        <v>-2097</v>
      </c>
      <c r="V12" s="125">
        <f>'Data Input'!W18/2</f>
        <v>-2196</v>
      </c>
      <c r="W12" s="125">
        <f>'Data Input'!X18/2</f>
        <v>-2250</v>
      </c>
      <c r="X12" s="125">
        <f>'Data Input'!Y18/2</f>
        <v>-2331.5</v>
      </c>
      <c r="Y12" s="125">
        <f>'Data Input'!Z18/2</f>
        <v>-2462</v>
      </c>
      <c r="Z12" s="125">
        <f>'Data Input'!AA18/2</f>
        <v>-2575</v>
      </c>
      <c r="AA12" s="125">
        <f>'Data Input'!AB18/2</f>
        <v>-2653</v>
      </c>
      <c r="AB12" s="481">
        <f>'Data Input'!AC18/2</f>
        <v>-2768</v>
      </c>
      <c r="AC12" s="81">
        <f>'Data Input'!AD18/2</f>
        <v>-2847.3898800902357</v>
      </c>
      <c r="AD12" s="81">
        <f>'Data Input'!AE18/2</f>
        <v>-2974.2801586714045</v>
      </c>
      <c r="AE12" s="81">
        <f>'Data Input'!AF18/2</f>
        <v>-3105.880039601253</v>
      </c>
      <c r="AF12" s="241">
        <f>'Data Input'!AG18/2</f>
        <v>-3241.89041757724</v>
      </c>
    </row>
    <row r="13" spans="1:32" s="8" customFormat="1" x14ac:dyDescent="0.2">
      <c r="A13" s="8" t="s">
        <v>54</v>
      </c>
      <c r="B13" s="8" t="s">
        <v>31</v>
      </c>
      <c r="C13" s="8">
        <f>SUM(C8:C12)</f>
        <v>21997</v>
      </c>
      <c r="D13" s="8">
        <f>SUM(D8:D12)</f>
        <v>24566.5</v>
      </c>
      <c r="E13" s="8">
        <f t="shared" ref="E13:R13" si="0">SUM(E8:E12)</f>
        <v>27612.5</v>
      </c>
      <c r="F13" s="8">
        <f t="shared" si="0"/>
        <v>30865.5</v>
      </c>
      <c r="G13" s="8">
        <f t="shared" si="0"/>
        <v>34079</v>
      </c>
      <c r="H13" s="8">
        <f t="shared" si="0"/>
        <v>36899</v>
      </c>
      <c r="I13" s="8">
        <f t="shared" si="0"/>
        <v>39044.5</v>
      </c>
      <c r="J13" s="8">
        <f t="shared" si="0"/>
        <v>42540.5</v>
      </c>
      <c r="K13" s="8">
        <f t="shared" si="0"/>
        <v>46261</v>
      </c>
      <c r="L13" s="8">
        <f t="shared" si="0"/>
        <v>48146.5</v>
      </c>
      <c r="M13" s="8">
        <f t="shared" si="0"/>
        <v>49725.5</v>
      </c>
      <c r="N13" s="8">
        <f t="shared" si="0"/>
        <v>56576</v>
      </c>
      <c r="O13" s="8">
        <f t="shared" si="0"/>
        <v>63678.5</v>
      </c>
      <c r="P13" s="8">
        <f t="shared" si="0"/>
        <v>66587</v>
      </c>
      <c r="Q13" s="119">
        <f t="shared" si="0"/>
        <v>70173</v>
      </c>
      <c r="R13" s="119">
        <f t="shared" si="0"/>
        <v>73233.5</v>
      </c>
      <c r="S13" s="119">
        <f t="shared" ref="S13:AD13" si="1">SUM(S8:S12)</f>
        <v>79468</v>
      </c>
      <c r="T13" s="119">
        <f t="shared" si="1"/>
        <v>82170.5</v>
      </c>
      <c r="U13" s="119">
        <f t="shared" si="1"/>
        <v>87385.5</v>
      </c>
      <c r="V13" s="119">
        <f t="shared" si="1"/>
        <v>91007</v>
      </c>
      <c r="W13" s="119">
        <f t="shared" si="1"/>
        <v>95580.5</v>
      </c>
      <c r="X13" s="119">
        <f t="shared" si="1"/>
        <v>98075.5</v>
      </c>
      <c r="Y13" s="119">
        <f t="shared" si="1"/>
        <v>102633</v>
      </c>
      <c r="Z13" s="119">
        <f t="shared" si="1"/>
        <v>104712.5</v>
      </c>
      <c r="AA13" s="119">
        <f t="shared" si="1"/>
        <v>108339.5</v>
      </c>
      <c r="AB13" s="477">
        <f t="shared" si="1"/>
        <v>112491</v>
      </c>
      <c r="AC13" s="78">
        <f t="shared" si="1"/>
        <v>115037.90699490976</v>
      </c>
      <c r="AD13" s="78">
        <f t="shared" si="1"/>
        <v>119554.42892636296</v>
      </c>
      <c r="AE13" s="78">
        <f>SUM(AE8:AE12)</f>
        <v>124325.3678799519</v>
      </c>
      <c r="AF13" s="242">
        <f>SUM(AF8:AF12)</f>
        <v>129367.38947461877</v>
      </c>
    </row>
    <row r="14" spans="1:32" s="1" customFormat="1" x14ac:dyDescent="0.2">
      <c r="A14" s="1" t="s">
        <v>55</v>
      </c>
      <c r="B14" s="1" t="s">
        <v>49</v>
      </c>
      <c r="C14" s="4">
        <f>'Data Input'!D6</f>
        <v>0.105</v>
      </c>
      <c r="D14" s="4">
        <f>'Data Input'!E6</f>
        <v>0.10249999999999999</v>
      </c>
      <c r="E14" s="4">
        <f>'Data Input'!F6</f>
        <v>9.5000000000000001E-2</v>
      </c>
      <c r="F14" s="4">
        <f>'Data Input'!G6</f>
        <v>8.7499999999999994E-2</v>
      </c>
      <c r="G14" s="4">
        <f>'Data Input'!H6</f>
        <v>8.7499999999999994E-2</v>
      </c>
      <c r="H14" s="4">
        <f>'Data Input'!I6</f>
        <v>8.2500000000000004E-2</v>
      </c>
      <c r="I14" s="4">
        <f>'Data Input'!J6</f>
        <v>8.2500000000000004E-2</v>
      </c>
      <c r="J14" s="4">
        <f>'Data Input'!K6</f>
        <v>7.7499999999999999E-2</v>
      </c>
      <c r="K14" s="4">
        <f>'Data Input'!L6</f>
        <v>7.2499999999999995E-2</v>
      </c>
      <c r="L14" s="4">
        <f>'Data Input'!M6</f>
        <v>7.2499999999999995E-2</v>
      </c>
      <c r="M14" s="4">
        <f>'Data Input'!N6</f>
        <v>7.0000000000000007E-2</v>
      </c>
      <c r="N14" s="4">
        <f>'Data Input'!O6</f>
        <v>7.0000000000000007E-2</v>
      </c>
      <c r="O14" s="4">
        <f>'Data Input'!P6</f>
        <v>7.0000000000000007E-2</v>
      </c>
      <c r="P14" s="4">
        <f>'Data Input'!Q6</f>
        <v>7.0000000000000007E-2</v>
      </c>
      <c r="Q14" s="128">
        <f>'Data Input'!R6</f>
        <v>7.0000000000000007E-2</v>
      </c>
      <c r="R14" s="405">
        <f>'Data Input'!S6</f>
        <v>7.0000000000000007E-2</v>
      </c>
      <c r="S14" s="405">
        <f>'Data Input'!T6</f>
        <v>6.7500000000000004E-2</v>
      </c>
      <c r="T14" s="128">
        <f>'Data Input'!U6</f>
        <v>6.7500000000000004E-2</v>
      </c>
      <c r="U14" s="128">
        <f>'Data Input'!V6</f>
        <v>6.7500000000000004E-2</v>
      </c>
      <c r="V14" s="128">
        <f>'Data Input'!W6</f>
        <v>6.7500000000000004E-2</v>
      </c>
      <c r="W14" s="128">
        <f>'Data Input'!X6</f>
        <v>6.7500000000000004E-2</v>
      </c>
      <c r="X14" s="128">
        <f>'Data Input'!Y6</f>
        <v>6.7500000000000004E-2</v>
      </c>
      <c r="Y14" s="128">
        <f>'Data Input'!Z6</f>
        <v>6.7500000000000004E-2</v>
      </c>
      <c r="Z14" s="128">
        <f>'Data Input'!AA6</f>
        <v>6.7500000000000004E-2</v>
      </c>
      <c r="AA14" s="128">
        <f>'Data Input'!AB6</f>
        <v>6.7500000000000004E-2</v>
      </c>
      <c r="AB14" s="482">
        <f>'Data Input'!AC6</f>
        <v>6.5000000000000002E-2</v>
      </c>
      <c r="AC14" s="82">
        <f>'Data Input'!AD6</f>
        <v>6.25E-2</v>
      </c>
      <c r="AD14" s="82">
        <f>'Data Input'!AE6</f>
        <v>6.25E-2</v>
      </c>
      <c r="AE14" s="82">
        <f>'Data Input'!AF6</f>
        <v>6.25E-2</v>
      </c>
      <c r="AF14" s="243">
        <f>'Data Input'!AG6</f>
        <v>6.25E-2</v>
      </c>
    </row>
    <row r="15" spans="1:32" s="25" customFormat="1" x14ac:dyDescent="0.2">
      <c r="A15" s="25" t="s">
        <v>56</v>
      </c>
      <c r="B15" s="8" t="s">
        <v>31</v>
      </c>
      <c r="C15" s="26">
        <f>C13*C14</f>
        <v>2309.6849999999999</v>
      </c>
      <c r="D15" s="26">
        <f>D13*D14</f>
        <v>2518.0662499999999</v>
      </c>
      <c r="E15" s="26">
        <f t="shared" ref="E15:R15" si="2">E13*E14</f>
        <v>2623.1875</v>
      </c>
      <c r="F15" s="26">
        <f t="shared" si="2"/>
        <v>2700.7312499999998</v>
      </c>
      <c r="G15" s="26">
        <f t="shared" si="2"/>
        <v>2981.9124999999999</v>
      </c>
      <c r="H15" s="26">
        <f t="shared" si="2"/>
        <v>3044.1675</v>
      </c>
      <c r="I15" s="26">
        <f t="shared" si="2"/>
        <v>3221.1712500000003</v>
      </c>
      <c r="J15" s="26">
        <f t="shared" si="2"/>
        <v>3296.8887500000001</v>
      </c>
      <c r="K15" s="26">
        <f t="shared" si="2"/>
        <v>3353.9224999999997</v>
      </c>
      <c r="L15" s="26">
        <f t="shared" si="2"/>
        <v>3490.6212499999997</v>
      </c>
      <c r="M15" s="26">
        <f t="shared" si="2"/>
        <v>3480.7850000000003</v>
      </c>
      <c r="N15" s="26">
        <f>ROUNDDOWN(N13*N14,0)</f>
        <v>3960</v>
      </c>
      <c r="O15" s="26">
        <f t="shared" si="2"/>
        <v>4457.4950000000008</v>
      </c>
      <c r="P15" s="26">
        <f t="shared" si="2"/>
        <v>4661.09</v>
      </c>
      <c r="Q15" s="129">
        <f t="shared" si="2"/>
        <v>4912.1100000000006</v>
      </c>
      <c r="R15" s="129">
        <f t="shared" si="2"/>
        <v>5126.3450000000003</v>
      </c>
      <c r="S15" s="129">
        <f t="shared" ref="S15:AD15" si="3">S13*S14</f>
        <v>5364.09</v>
      </c>
      <c r="T15" s="129">
        <f t="shared" si="3"/>
        <v>5546.50875</v>
      </c>
      <c r="U15" s="129">
        <f t="shared" si="3"/>
        <v>5898.5212500000007</v>
      </c>
      <c r="V15" s="129">
        <f t="shared" si="3"/>
        <v>6142.9725000000008</v>
      </c>
      <c r="W15" s="129">
        <f t="shared" si="3"/>
        <v>6451.6837500000001</v>
      </c>
      <c r="X15" s="129">
        <f t="shared" si="3"/>
        <v>6620.0962500000005</v>
      </c>
      <c r="Y15" s="129">
        <f t="shared" si="3"/>
        <v>6927.7275000000009</v>
      </c>
      <c r="Z15" s="129">
        <f t="shared" si="3"/>
        <v>7068.0937500000009</v>
      </c>
      <c r="AA15" s="129">
        <f t="shared" si="3"/>
        <v>7312.9162500000002</v>
      </c>
      <c r="AB15" s="483">
        <f t="shared" si="3"/>
        <v>7311.915</v>
      </c>
      <c r="AC15" s="83">
        <f t="shared" si="3"/>
        <v>7189.8691871818601</v>
      </c>
      <c r="AD15" s="83">
        <f t="shared" si="3"/>
        <v>7472.1518078976851</v>
      </c>
      <c r="AE15" s="83">
        <f>AE13*AE14</f>
        <v>7770.3354924969935</v>
      </c>
      <c r="AF15" s="244">
        <f>AF13*AF14</f>
        <v>8085.4618421636733</v>
      </c>
    </row>
    <row r="17" spans="1:32" x14ac:dyDescent="0.2">
      <c r="A17" s="28" t="s">
        <v>58</v>
      </c>
    </row>
    <row r="18" spans="1:32" s="3" customFormat="1" x14ac:dyDescent="0.2">
      <c r="A18" s="3" t="s">
        <v>296</v>
      </c>
      <c r="B18" s="3" t="s">
        <v>49</v>
      </c>
      <c r="C18" s="3">
        <f>'Data Input'!C28</f>
        <v>18540</v>
      </c>
      <c r="D18" s="3">
        <f>'Data Input'!D28</f>
        <v>20124</v>
      </c>
      <c r="E18" s="3">
        <f>'Data Input'!E28</f>
        <v>24697</v>
      </c>
      <c r="F18" s="3">
        <f>'Data Input'!F28</f>
        <v>27773</v>
      </c>
      <c r="G18" s="3">
        <f>'Data Input'!G28</f>
        <v>33711</v>
      </c>
      <c r="H18" s="3">
        <f>'Data Input'!H28</f>
        <v>34242</v>
      </c>
      <c r="I18" s="3">
        <f>'Data Input'!I28</f>
        <v>38092</v>
      </c>
      <c r="J18" s="3">
        <f>'Data Input'!J28</f>
        <v>43013</v>
      </c>
      <c r="K18" s="3">
        <f>'Data Input'!K28</f>
        <v>48901</v>
      </c>
      <c r="L18" s="3">
        <f>'Data Input'!L28</f>
        <v>54382</v>
      </c>
      <c r="M18" s="3">
        <f>'Data Input'!M28</f>
        <v>61039</v>
      </c>
      <c r="N18" s="3">
        <f>'Data Input'!N28</f>
        <v>68780</v>
      </c>
      <c r="O18" s="3">
        <f>'Data Input'!O28</f>
        <v>72429</v>
      </c>
      <c r="P18" s="3">
        <f>'Data Input'!P28</f>
        <v>75857</v>
      </c>
      <c r="Q18" s="121">
        <f>'Data Input'!Q28</f>
        <v>79157</v>
      </c>
      <c r="R18" s="121">
        <f>'Data Input'!R28</f>
        <v>82791</v>
      </c>
      <c r="S18" s="121">
        <f>'Data Input'!S28</f>
        <v>88694</v>
      </c>
      <c r="T18" s="121">
        <f>'Data Input'!T28</f>
        <v>94850</v>
      </c>
      <c r="U18" s="121">
        <f>'Data Input'!U28</f>
        <v>104917</v>
      </c>
      <c r="V18" s="121">
        <f>'Data Input'!V28</f>
        <v>106957</v>
      </c>
      <c r="W18" s="121">
        <f>'Data Input'!W28</f>
        <v>109112</v>
      </c>
      <c r="X18" s="121">
        <f>'Data Input'!X28</f>
        <v>114246</v>
      </c>
      <c r="Y18" s="121">
        <f>'Data Input'!Y28</f>
        <v>115685</v>
      </c>
      <c r="Z18" s="121">
        <f>'Data Input'!Z28</f>
        <v>119864</v>
      </c>
      <c r="AA18" s="121">
        <f>'Data Input'!AA28</f>
        <v>130867</v>
      </c>
      <c r="AB18" s="480">
        <f>'Data Input'!AB28</f>
        <v>143076</v>
      </c>
      <c r="AC18" s="79">
        <f>'Data Input'!AC28</f>
        <v>156998</v>
      </c>
      <c r="AD18" s="79">
        <f>'Data Input'!AD28</f>
        <v>170805.87488462828</v>
      </c>
      <c r="AE18" s="79">
        <f>'Data Input'!AE28</f>
        <v>183733.14824921408</v>
      </c>
      <c r="AF18" s="240">
        <f>'Data Input'!AF28</f>
        <v>196139.25039928145</v>
      </c>
    </row>
    <row r="19" spans="1:32" s="3" customFormat="1" x14ac:dyDescent="0.2">
      <c r="A19" s="3" t="s">
        <v>64</v>
      </c>
      <c r="C19" s="23" t="s">
        <v>12</v>
      </c>
      <c r="D19" s="23" t="s">
        <v>12</v>
      </c>
      <c r="E19" s="23" t="s">
        <v>12</v>
      </c>
      <c r="F19" s="23" t="s">
        <v>12</v>
      </c>
      <c r="G19" s="23">
        <v>-1474</v>
      </c>
      <c r="H19" s="23" t="s">
        <v>12</v>
      </c>
      <c r="I19" s="23" t="s">
        <v>12</v>
      </c>
      <c r="J19" s="23" t="s">
        <v>12</v>
      </c>
      <c r="K19" s="23" t="s">
        <v>12</v>
      </c>
      <c r="L19" s="23" t="s">
        <v>12</v>
      </c>
      <c r="M19" s="23" t="s">
        <v>12</v>
      </c>
      <c r="N19" s="23" t="s">
        <v>12</v>
      </c>
      <c r="O19" s="23" t="s">
        <v>12</v>
      </c>
      <c r="P19" s="23" t="s">
        <v>12</v>
      </c>
      <c r="Q19" s="130" t="s">
        <v>12</v>
      </c>
      <c r="R19" s="130" t="s">
        <v>12</v>
      </c>
      <c r="S19" s="130" t="s">
        <v>12</v>
      </c>
      <c r="T19" s="130" t="s">
        <v>12</v>
      </c>
      <c r="U19" s="130" t="s">
        <v>12</v>
      </c>
      <c r="V19" s="130" t="s">
        <v>12</v>
      </c>
      <c r="W19" s="130" t="s">
        <v>12</v>
      </c>
      <c r="X19" s="130" t="s">
        <v>12</v>
      </c>
      <c r="Y19" s="130" t="s">
        <v>12</v>
      </c>
      <c r="Z19" s="130" t="s">
        <v>12</v>
      </c>
      <c r="AA19" s="130" t="s">
        <v>12</v>
      </c>
      <c r="AB19" s="484" t="s">
        <v>12</v>
      </c>
      <c r="AC19" s="84" t="s">
        <v>12</v>
      </c>
      <c r="AD19" s="84" t="s">
        <v>12</v>
      </c>
      <c r="AE19" s="84" t="s">
        <v>12</v>
      </c>
      <c r="AF19" s="245" t="s">
        <v>12</v>
      </c>
    </row>
    <row r="20" spans="1:32" s="3" customFormat="1" x14ac:dyDescent="0.2">
      <c r="A20" s="3" t="s">
        <v>59</v>
      </c>
      <c r="B20" s="3" t="s">
        <v>57</v>
      </c>
      <c r="C20" s="3">
        <f>'Data Input'!D38/2</f>
        <v>650</v>
      </c>
      <c r="D20" s="3">
        <f>'Data Input'!E38/2</f>
        <v>765</v>
      </c>
      <c r="E20" s="3">
        <f>'Data Input'!F38/2</f>
        <v>944.5</v>
      </c>
      <c r="F20" s="3">
        <f>'Data Input'!G38/2</f>
        <v>700.5</v>
      </c>
      <c r="G20" s="3">
        <f>'Data Input'!H38/2</f>
        <v>718</v>
      </c>
      <c r="H20" s="3">
        <f>'Data Input'!I38/2</f>
        <v>652.5</v>
      </c>
      <c r="I20" s="3">
        <f>'Data Input'!J38/2</f>
        <v>722.5</v>
      </c>
      <c r="J20" s="3">
        <f>'Data Input'!K38/2</f>
        <v>848</v>
      </c>
      <c r="K20" s="3">
        <f>'Data Input'!L38/2</f>
        <v>878.5</v>
      </c>
      <c r="L20" s="3">
        <f>'Data Input'!M38/2</f>
        <v>706.5</v>
      </c>
      <c r="M20" s="3">
        <f>'Data Input'!N38/2</f>
        <v>640.5</v>
      </c>
      <c r="N20" s="3">
        <f>'Data Input'!O38/2</f>
        <v>656</v>
      </c>
      <c r="O20" s="3">
        <f>'Data Input'!P38/2</f>
        <v>691.5</v>
      </c>
      <c r="P20" s="3">
        <f>'Data Input'!Q38/2</f>
        <v>717.5</v>
      </c>
      <c r="Q20" s="121">
        <f>'Data Input'!R38/2</f>
        <v>747.5</v>
      </c>
      <c r="R20" s="121">
        <f>'Data Input'!S38/2</f>
        <v>787.5</v>
      </c>
      <c r="S20" s="121">
        <f>'Data Input'!T38/2</f>
        <v>823</v>
      </c>
      <c r="T20" s="121">
        <f>'Data Input'!U38/2</f>
        <v>1069</v>
      </c>
      <c r="U20" s="121">
        <f>'Data Input'!V38/2</f>
        <v>1155.5</v>
      </c>
      <c r="V20" s="121">
        <f>'Data Input'!W38/2</f>
        <v>1361.5</v>
      </c>
      <c r="W20" s="121">
        <f>'Data Input'!X38/2</f>
        <v>1348.5974285714287</v>
      </c>
      <c r="X20" s="121">
        <f>'Data Input'!Y38/2</f>
        <v>1411.5</v>
      </c>
      <c r="Y20" s="121">
        <f>'Data Input'!Z38/2</f>
        <v>1471.8581160714284</v>
      </c>
      <c r="Z20" s="121">
        <f>'Data Input'!AA38/2</f>
        <v>1540.5</v>
      </c>
      <c r="AA20" s="121">
        <f>'Data Input'!AB38/2</f>
        <v>1608</v>
      </c>
      <c r="AB20" s="480">
        <f>'Data Input'!AC38/2</f>
        <v>1649.5</v>
      </c>
      <c r="AC20" s="79">
        <f>'Data Input'!AD38/2</f>
        <v>1713.9523224043714</v>
      </c>
      <c r="AD20" s="79">
        <f>'Data Input'!AE38/2</f>
        <v>1782.0770008196719</v>
      </c>
      <c r="AE20" s="79">
        <f>'Data Input'!AF38/2</f>
        <v>1843.3014818469944</v>
      </c>
      <c r="AF20" s="240">
        <f>'Data Input'!AG38/2</f>
        <v>1906.6476124352184</v>
      </c>
    </row>
    <row r="21" spans="1:32" s="3" customFormat="1" x14ac:dyDescent="0.2">
      <c r="A21" s="3" t="s">
        <v>53</v>
      </c>
      <c r="B21" s="3" t="s">
        <v>57</v>
      </c>
      <c r="C21" s="6">
        <f>'Data Input'!D18/2</f>
        <v>-380</v>
      </c>
      <c r="D21" s="6">
        <f>'Data Input'!E18/2</f>
        <v>-414.5</v>
      </c>
      <c r="E21" s="6">
        <f>'Data Input'!F18/2</f>
        <v>-460.5</v>
      </c>
      <c r="F21" s="6">
        <f>'Data Input'!G18/2</f>
        <v>-500.5</v>
      </c>
      <c r="G21" s="6">
        <f>'Data Input'!H18/2</f>
        <v>-565</v>
      </c>
      <c r="H21" s="6">
        <f>'Data Input'!I18/2</f>
        <v>-630.5</v>
      </c>
      <c r="I21" s="6">
        <f>'Data Input'!J18/2</f>
        <v>-760</v>
      </c>
      <c r="J21" s="6">
        <f>'Data Input'!K18/2</f>
        <v>-901</v>
      </c>
      <c r="K21" s="6">
        <f>'Data Input'!L18/2</f>
        <v>-1051.5</v>
      </c>
      <c r="L21" s="6">
        <f>'Data Input'!M18/2</f>
        <v>-1139</v>
      </c>
      <c r="M21" s="6">
        <f>'Data Input'!N18/2</f>
        <v>-1270.5</v>
      </c>
      <c r="N21" s="6">
        <f>'Data Input'!O18/2</f>
        <v>-1540</v>
      </c>
      <c r="O21" s="6">
        <f>'Data Input'!P18/2</f>
        <v>-1538</v>
      </c>
      <c r="P21" s="6">
        <f>'Data Input'!Q18/2</f>
        <v>-1599.5</v>
      </c>
      <c r="Q21" s="125">
        <f>'Data Input'!R18/2</f>
        <v>-1714</v>
      </c>
      <c r="R21" s="125">
        <f>'Data Input'!S18/2</f>
        <v>-1810</v>
      </c>
      <c r="S21" s="125">
        <f>'Data Input'!T18/2</f>
        <v>-1909</v>
      </c>
      <c r="T21" s="125">
        <f>'Data Input'!U18/2</f>
        <v>-2010</v>
      </c>
      <c r="U21" s="125">
        <f>'Data Input'!V18/2</f>
        <v>-2097</v>
      </c>
      <c r="V21" s="125">
        <f>'Data Input'!W18/2</f>
        <v>-2196</v>
      </c>
      <c r="W21" s="125">
        <f>'Data Input'!X18/2</f>
        <v>-2250</v>
      </c>
      <c r="X21" s="125">
        <f>'Data Input'!Y18/2</f>
        <v>-2331.5</v>
      </c>
      <c r="Y21" s="125">
        <f>'Data Input'!Z18/2</f>
        <v>-2462</v>
      </c>
      <c r="Z21" s="125">
        <f>'Data Input'!AA18/2</f>
        <v>-2575</v>
      </c>
      <c r="AA21" s="125">
        <f>'Data Input'!AB18/2</f>
        <v>-2653</v>
      </c>
      <c r="AB21" s="481">
        <f>'Data Input'!AC18/2</f>
        <v>-2768</v>
      </c>
      <c r="AC21" s="81">
        <f>'Data Input'!AD18/2</f>
        <v>-2847.3898800902357</v>
      </c>
      <c r="AD21" s="81">
        <f>'Data Input'!AE18/2</f>
        <v>-2974.2801586714045</v>
      </c>
      <c r="AE21" s="81">
        <f>'Data Input'!AF18/2</f>
        <v>-3105.880039601253</v>
      </c>
      <c r="AF21" s="241">
        <f>'Data Input'!AG18/2</f>
        <v>-3241.89041757724</v>
      </c>
    </row>
    <row r="22" spans="1:32" s="8" customFormat="1" x14ac:dyDescent="0.2">
      <c r="A22" s="8" t="s">
        <v>60</v>
      </c>
      <c r="B22" s="8" t="s">
        <v>31</v>
      </c>
      <c r="C22" s="8">
        <f>SUM(C18:C21)</f>
        <v>18810</v>
      </c>
      <c r="D22" s="8">
        <f>SUM(D18:D21)</f>
        <v>20474.5</v>
      </c>
      <c r="E22" s="8">
        <f t="shared" ref="E22:R22" si="4">SUM(E18:E21)</f>
        <v>25181</v>
      </c>
      <c r="F22" s="8">
        <f t="shared" si="4"/>
        <v>27973</v>
      </c>
      <c r="G22" s="8">
        <f t="shared" si="4"/>
        <v>32390</v>
      </c>
      <c r="H22" s="8">
        <f t="shared" si="4"/>
        <v>34264</v>
      </c>
      <c r="I22" s="8">
        <f t="shared" si="4"/>
        <v>38054.5</v>
      </c>
      <c r="J22" s="8">
        <f t="shared" si="4"/>
        <v>42960</v>
      </c>
      <c r="K22" s="8">
        <f t="shared" si="4"/>
        <v>48728</v>
      </c>
      <c r="L22" s="8">
        <f t="shared" si="4"/>
        <v>53949.5</v>
      </c>
      <c r="M22" s="8">
        <f t="shared" si="4"/>
        <v>60409</v>
      </c>
      <c r="N22" s="8">
        <f t="shared" si="4"/>
        <v>67896</v>
      </c>
      <c r="O22" s="8">
        <f t="shared" si="4"/>
        <v>71582.5</v>
      </c>
      <c r="P22" s="8">
        <f t="shared" si="4"/>
        <v>74975</v>
      </c>
      <c r="Q22" s="119">
        <f t="shared" si="4"/>
        <v>78190.5</v>
      </c>
      <c r="R22" s="119">
        <f t="shared" si="4"/>
        <v>81768.5</v>
      </c>
      <c r="S22" s="119">
        <f t="shared" ref="S22:AD22" si="5">SUM(S18:S21)</f>
        <v>87608</v>
      </c>
      <c r="T22" s="119">
        <f t="shared" si="5"/>
        <v>93909</v>
      </c>
      <c r="U22" s="119">
        <f t="shared" si="5"/>
        <v>103975.5</v>
      </c>
      <c r="V22" s="119">
        <f t="shared" si="5"/>
        <v>106122.5</v>
      </c>
      <c r="W22" s="119">
        <f t="shared" si="5"/>
        <v>108210.59742857143</v>
      </c>
      <c r="X22" s="119">
        <f t="shared" si="5"/>
        <v>113326</v>
      </c>
      <c r="Y22" s="119">
        <f t="shared" si="5"/>
        <v>114694.85811607142</v>
      </c>
      <c r="Z22" s="119">
        <f t="shared" si="5"/>
        <v>118829.5</v>
      </c>
      <c r="AA22" s="119">
        <f t="shared" si="5"/>
        <v>129822</v>
      </c>
      <c r="AB22" s="477">
        <f t="shared" si="5"/>
        <v>141957.5</v>
      </c>
      <c r="AC22" s="78">
        <f t="shared" si="5"/>
        <v>155864.56244231414</v>
      </c>
      <c r="AD22" s="78">
        <f t="shared" si="5"/>
        <v>169613.67172677655</v>
      </c>
      <c r="AE22" s="78">
        <f>SUM(AE18:AE21)</f>
        <v>182470.56969145979</v>
      </c>
      <c r="AF22" s="242">
        <f>SUM(AF18:AF21)</f>
        <v>194804.00759413943</v>
      </c>
    </row>
    <row r="23" spans="1:32" s="1" customFormat="1" x14ac:dyDescent="0.2">
      <c r="A23" s="1" t="s">
        <v>55</v>
      </c>
      <c r="B23" s="1" t="s">
        <v>49</v>
      </c>
      <c r="C23" s="4">
        <f>'Data Input'!D6</f>
        <v>0.105</v>
      </c>
      <c r="D23" s="4">
        <f>'Data Input'!E6</f>
        <v>0.10249999999999999</v>
      </c>
      <c r="E23" s="4">
        <f>'Data Input'!F6</f>
        <v>9.5000000000000001E-2</v>
      </c>
      <c r="F23" s="4">
        <f>'Data Input'!G6</f>
        <v>8.7499999999999994E-2</v>
      </c>
      <c r="G23" s="4">
        <f>'Data Input'!H6</f>
        <v>8.7499999999999994E-2</v>
      </c>
      <c r="H23" s="4">
        <f>'Data Input'!I6</f>
        <v>8.2500000000000004E-2</v>
      </c>
      <c r="I23" s="4">
        <f>'Data Input'!J6</f>
        <v>8.2500000000000004E-2</v>
      </c>
      <c r="J23" s="4">
        <f>'Data Input'!K6</f>
        <v>7.7499999999999999E-2</v>
      </c>
      <c r="K23" s="4">
        <f>'Data Input'!L6</f>
        <v>7.2499999999999995E-2</v>
      </c>
      <c r="L23" s="4">
        <f>'Data Input'!M6</f>
        <v>7.2499999999999995E-2</v>
      </c>
      <c r="M23" s="4">
        <f>'Data Input'!N6</f>
        <v>7.0000000000000007E-2</v>
      </c>
      <c r="N23" s="4">
        <f>'Data Input'!O6</f>
        <v>7.0000000000000007E-2</v>
      </c>
      <c r="O23" s="4">
        <f>'Data Input'!P6</f>
        <v>7.0000000000000007E-2</v>
      </c>
      <c r="P23" s="4">
        <f>'Data Input'!Q6</f>
        <v>7.0000000000000007E-2</v>
      </c>
      <c r="Q23" s="128">
        <f>'Data Input'!R6</f>
        <v>7.0000000000000007E-2</v>
      </c>
      <c r="R23" s="405">
        <f>'Data Input'!S6</f>
        <v>7.0000000000000007E-2</v>
      </c>
      <c r="S23" s="405">
        <f>'Data Input'!T6</f>
        <v>6.7500000000000004E-2</v>
      </c>
      <c r="T23" s="128">
        <f>'Data Input'!U6</f>
        <v>6.7500000000000004E-2</v>
      </c>
      <c r="U23" s="128">
        <f>'Data Input'!V6</f>
        <v>6.7500000000000004E-2</v>
      </c>
      <c r="V23" s="128">
        <f>'Data Input'!W6</f>
        <v>6.7500000000000004E-2</v>
      </c>
      <c r="W23" s="128">
        <f>'Data Input'!X6</f>
        <v>6.7500000000000004E-2</v>
      </c>
      <c r="X23" s="128">
        <f>'Data Input'!Y6</f>
        <v>6.7500000000000004E-2</v>
      </c>
      <c r="Y23" s="128">
        <f>'Data Input'!Z6</f>
        <v>6.7500000000000004E-2</v>
      </c>
      <c r="Z23" s="128">
        <f>'Data Input'!AA6</f>
        <v>6.7500000000000004E-2</v>
      </c>
      <c r="AA23" s="128">
        <f>'Data Input'!AB6</f>
        <v>6.7500000000000004E-2</v>
      </c>
      <c r="AB23" s="482">
        <f>'Data Input'!AC6</f>
        <v>6.5000000000000002E-2</v>
      </c>
      <c r="AC23" s="82">
        <f>'Data Input'!AD6</f>
        <v>6.25E-2</v>
      </c>
      <c r="AD23" s="82">
        <f>'Data Input'!AE6</f>
        <v>6.25E-2</v>
      </c>
      <c r="AE23" s="82">
        <f>'Data Input'!AF6</f>
        <v>6.25E-2</v>
      </c>
      <c r="AF23" s="243">
        <f>'Data Input'!AG6</f>
        <v>6.25E-2</v>
      </c>
    </row>
    <row r="24" spans="1:32" s="25" customFormat="1" x14ac:dyDescent="0.2">
      <c r="A24" s="25" t="s">
        <v>61</v>
      </c>
      <c r="B24" s="8" t="s">
        <v>31</v>
      </c>
      <c r="C24" s="26">
        <f>C22*C23</f>
        <v>1975.05</v>
      </c>
      <c r="D24" s="26">
        <f>D22*D23</f>
        <v>2098.63625</v>
      </c>
      <c r="E24" s="26">
        <f t="shared" ref="E24:R24" si="6">E22*E23</f>
        <v>2392.1950000000002</v>
      </c>
      <c r="F24" s="26">
        <f t="shared" si="6"/>
        <v>2447.6374999999998</v>
      </c>
      <c r="G24" s="26">
        <f t="shared" si="6"/>
        <v>2834.125</v>
      </c>
      <c r="H24" s="26">
        <f t="shared" si="6"/>
        <v>2826.78</v>
      </c>
      <c r="I24" s="26">
        <f t="shared" si="6"/>
        <v>3139.4962500000001</v>
      </c>
      <c r="J24" s="26">
        <f t="shared" si="6"/>
        <v>3329.4</v>
      </c>
      <c r="K24" s="26">
        <f t="shared" si="6"/>
        <v>3532.7799999999997</v>
      </c>
      <c r="L24" s="26">
        <f t="shared" si="6"/>
        <v>3911.3387499999999</v>
      </c>
      <c r="M24" s="26">
        <f t="shared" si="6"/>
        <v>4228.63</v>
      </c>
      <c r="N24" s="26">
        <f t="shared" si="6"/>
        <v>4752.72</v>
      </c>
      <c r="O24" s="26">
        <f t="shared" si="6"/>
        <v>5010.7750000000005</v>
      </c>
      <c r="P24" s="26">
        <f t="shared" si="6"/>
        <v>5248.2500000000009</v>
      </c>
      <c r="Q24" s="129">
        <f t="shared" si="6"/>
        <v>5473.3350000000009</v>
      </c>
      <c r="R24" s="129">
        <f t="shared" si="6"/>
        <v>5723.795000000001</v>
      </c>
      <c r="S24" s="129">
        <f t="shared" ref="S24:AD24" si="7">S22*S23</f>
        <v>5913.54</v>
      </c>
      <c r="T24" s="129">
        <f t="shared" si="7"/>
        <v>6338.8575000000001</v>
      </c>
      <c r="U24" s="129">
        <f t="shared" si="7"/>
        <v>7018.3462500000005</v>
      </c>
      <c r="V24" s="129">
        <f t="shared" si="7"/>
        <v>7163.2687500000002</v>
      </c>
      <c r="W24" s="129">
        <f t="shared" si="7"/>
        <v>7304.2153264285726</v>
      </c>
      <c r="X24" s="129">
        <f t="shared" si="7"/>
        <v>7649.5050000000001</v>
      </c>
      <c r="Y24" s="129">
        <f t="shared" si="7"/>
        <v>7741.9029228348218</v>
      </c>
      <c r="Z24" s="129">
        <f t="shared" si="7"/>
        <v>8020.9912500000009</v>
      </c>
      <c r="AA24" s="129">
        <f t="shared" si="7"/>
        <v>8762.9850000000006</v>
      </c>
      <c r="AB24" s="483">
        <f t="shared" si="7"/>
        <v>9227.2375000000011</v>
      </c>
      <c r="AC24" s="83">
        <f t="shared" si="7"/>
        <v>9741.5351526446339</v>
      </c>
      <c r="AD24" s="83">
        <f t="shared" si="7"/>
        <v>10600.854482923534</v>
      </c>
      <c r="AE24" s="83">
        <f>AE22*AE23</f>
        <v>11404.410605716237</v>
      </c>
      <c r="AF24" s="244">
        <f>AF22*AF23</f>
        <v>12175.250474633714</v>
      </c>
    </row>
    <row r="25" spans="1:32" x14ac:dyDescent="0.2">
      <c r="B25" s="8"/>
    </row>
    <row r="26" spans="1:32" x14ac:dyDescent="0.2">
      <c r="A26" t="s">
        <v>62</v>
      </c>
      <c r="B26" t="s">
        <v>66</v>
      </c>
      <c r="C26" s="22">
        <f>+C15</f>
        <v>2309.6849999999999</v>
      </c>
      <c r="D26" s="22">
        <f>+D15</f>
        <v>2518.0662499999999</v>
      </c>
      <c r="E26" s="22">
        <f t="shared" ref="E26:N26" si="8">+E15</f>
        <v>2623.1875</v>
      </c>
      <c r="F26" s="22">
        <f t="shared" si="8"/>
        <v>2700.7312499999998</v>
      </c>
      <c r="G26" s="22">
        <f t="shared" si="8"/>
        <v>2981.9124999999999</v>
      </c>
      <c r="H26" s="22">
        <f t="shared" si="8"/>
        <v>3044.1675</v>
      </c>
      <c r="I26" s="22">
        <f t="shared" si="8"/>
        <v>3221.1712500000003</v>
      </c>
      <c r="J26" s="22">
        <f t="shared" si="8"/>
        <v>3296.8887500000001</v>
      </c>
      <c r="K26" s="22">
        <f t="shared" si="8"/>
        <v>3353.9224999999997</v>
      </c>
      <c r="L26" s="22">
        <f t="shared" si="8"/>
        <v>3490.6212499999997</v>
      </c>
      <c r="M26" s="22">
        <f t="shared" si="8"/>
        <v>3480.7850000000003</v>
      </c>
      <c r="N26" s="22">
        <f t="shared" si="8"/>
        <v>3960</v>
      </c>
      <c r="O26" s="22">
        <f t="shared" ref="O26:U26" si="9">+O15</f>
        <v>4457.4950000000008</v>
      </c>
      <c r="P26" s="22">
        <f t="shared" si="9"/>
        <v>4661.09</v>
      </c>
      <c r="Q26" s="106">
        <f t="shared" si="9"/>
        <v>4912.1100000000006</v>
      </c>
      <c r="R26" s="106">
        <f t="shared" si="9"/>
        <v>5126.3450000000003</v>
      </c>
      <c r="S26" s="106">
        <f t="shared" si="9"/>
        <v>5364.09</v>
      </c>
      <c r="T26" s="106">
        <f t="shared" si="9"/>
        <v>5546.50875</v>
      </c>
      <c r="U26" s="106">
        <f t="shared" si="9"/>
        <v>5898.5212500000007</v>
      </c>
      <c r="V26" s="106">
        <f t="shared" ref="V26:AA26" si="10">+V15</f>
        <v>6142.9725000000008</v>
      </c>
      <c r="W26" s="106">
        <f t="shared" si="10"/>
        <v>6451.6837500000001</v>
      </c>
      <c r="X26" s="106">
        <f t="shared" si="10"/>
        <v>6620.0962500000005</v>
      </c>
      <c r="Y26" s="106">
        <f t="shared" si="10"/>
        <v>6927.7275000000009</v>
      </c>
      <c r="Z26" s="106">
        <f t="shared" si="10"/>
        <v>7068.0937500000009</v>
      </c>
      <c r="AA26" s="106">
        <f t="shared" si="10"/>
        <v>7312.9162500000002</v>
      </c>
      <c r="AB26" s="485">
        <f>+AB15</f>
        <v>7311.915</v>
      </c>
      <c r="AC26" s="85">
        <f>+AC15</f>
        <v>7189.8691871818601</v>
      </c>
      <c r="AD26" s="85">
        <f>+AD15</f>
        <v>7472.1518078976851</v>
      </c>
      <c r="AE26" s="85">
        <f>+AE15</f>
        <v>7770.3354924969935</v>
      </c>
      <c r="AF26" s="246">
        <f>+AF15</f>
        <v>8085.4618421636733</v>
      </c>
    </row>
    <row r="27" spans="1:32" x14ac:dyDescent="0.2">
      <c r="A27" t="s">
        <v>63</v>
      </c>
      <c r="B27" t="s">
        <v>66</v>
      </c>
      <c r="C27" s="22">
        <f>-C24</f>
        <v>-1975.05</v>
      </c>
      <c r="D27" s="22">
        <f>-D24</f>
        <v>-2098.63625</v>
      </c>
      <c r="E27" s="22">
        <f t="shared" ref="E27:N27" si="11">-E24</f>
        <v>-2392.1950000000002</v>
      </c>
      <c r="F27" s="22">
        <f t="shared" si="11"/>
        <v>-2447.6374999999998</v>
      </c>
      <c r="G27" s="22">
        <f t="shared" si="11"/>
        <v>-2834.125</v>
      </c>
      <c r="H27" s="22">
        <f t="shared" si="11"/>
        <v>-2826.78</v>
      </c>
      <c r="I27" s="22">
        <f t="shared" si="11"/>
        <v>-3139.4962500000001</v>
      </c>
      <c r="J27" s="22">
        <f t="shared" si="11"/>
        <v>-3329.4</v>
      </c>
      <c r="K27" s="22">
        <f t="shared" si="11"/>
        <v>-3532.7799999999997</v>
      </c>
      <c r="L27" s="22">
        <f t="shared" si="11"/>
        <v>-3911.3387499999999</v>
      </c>
      <c r="M27" s="22">
        <f t="shared" si="11"/>
        <v>-4228.63</v>
      </c>
      <c r="N27" s="22">
        <f t="shared" si="11"/>
        <v>-4752.72</v>
      </c>
      <c r="O27" s="22">
        <f t="shared" ref="O27:T27" si="12">-O24</f>
        <v>-5010.7750000000005</v>
      </c>
      <c r="P27" s="22">
        <f t="shared" si="12"/>
        <v>-5248.2500000000009</v>
      </c>
      <c r="Q27" s="106">
        <f t="shared" si="12"/>
        <v>-5473.3350000000009</v>
      </c>
      <c r="R27" s="106">
        <f t="shared" si="12"/>
        <v>-5723.795000000001</v>
      </c>
      <c r="S27" s="106">
        <f t="shared" si="12"/>
        <v>-5913.54</v>
      </c>
      <c r="T27" s="106">
        <f t="shared" si="12"/>
        <v>-6338.8575000000001</v>
      </c>
      <c r="U27" s="106">
        <f t="shared" ref="U27:Z27" si="13">-U24</f>
        <v>-7018.3462500000005</v>
      </c>
      <c r="V27" s="106">
        <f t="shared" si="13"/>
        <v>-7163.2687500000002</v>
      </c>
      <c r="W27" s="106">
        <f t="shared" si="13"/>
        <v>-7304.2153264285726</v>
      </c>
      <c r="X27" s="106">
        <f t="shared" si="13"/>
        <v>-7649.5050000000001</v>
      </c>
      <c r="Y27" s="106">
        <f t="shared" si="13"/>
        <v>-7741.9029228348218</v>
      </c>
      <c r="Z27" s="106">
        <f t="shared" si="13"/>
        <v>-8020.9912500000009</v>
      </c>
      <c r="AA27" s="106">
        <f t="shared" ref="AA27:AF27" si="14">-AA24</f>
        <v>-8762.9850000000006</v>
      </c>
      <c r="AB27" s="485">
        <f t="shared" si="14"/>
        <v>-9227.2375000000011</v>
      </c>
      <c r="AC27" s="85">
        <f t="shared" si="14"/>
        <v>-9741.5351526446339</v>
      </c>
      <c r="AD27" s="85">
        <f t="shared" si="14"/>
        <v>-10600.854482923534</v>
      </c>
      <c r="AE27" s="85">
        <f t="shared" si="14"/>
        <v>-11404.410605716237</v>
      </c>
      <c r="AF27" s="246">
        <f t="shared" si="14"/>
        <v>-12175.250474633714</v>
      </c>
    </row>
    <row r="28" spans="1:32" s="3" customFormat="1" x14ac:dyDescent="0.2">
      <c r="A28" s="3" t="s">
        <v>209</v>
      </c>
      <c r="B28" s="1" t="s">
        <v>49</v>
      </c>
      <c r="C28" s="24" t="str">
        <f>'Data Input'!D29</f>
        <v>n/a</v>
      </c>
      <c r="D28" s="24" t="str">
        <f>'Data Input'!E29</f>
        <v>n/a</v>
      </c>
      <c r="E28" s="24" t="str">
        <f>'Data Input'!F29</f>
        <v>n/a</v>
      </c>
      <c r="F28" s="24" t="str">
        <f>'Data Input'!G29</f>
        <v>n/a</v>
      </c>
      <c r="G28" s="24">
        <f>'Data Input'!H29</f>
        <v>70</v>
      </c>
      <c r="H28" s="24">
        <f>'Data Input'!I29</f>
        <v>79</v>
      </c>
      <c r="I28" s="24">
        <f>'Data Input'!J29</f>
        <v>61</v>
      </c>
      <c r="J28" s="24">
        <f>'Data Input'!K29</f>
        <v>68</v>
      </c>
      <c r="K28" s="24">
        <f>'Data Input'!L29</f>
        <v>53</v>
      </c>
      <c r="L28" s="24">
        <f>'Data Input'!M29</f>
        <v>44</v>
      </c>
      <c r="M28" s="24">
        <f>'Data Input'!N29</f>
        <v>41</v>
      </c>
      <c r="N28" s="24">
        <f>'Data Input'!O29</f>
        <v>44</v>
      </c>
      <c r="O28" s="24">
        <f>'Data Input'!P29</f>
        <v>54</v>
      </c>
      <c r="P28" s="24">
        <f>'Data Input'!Q29</f>
        <v>43</v>
      </c>
      <c r="Q28" s="131">
        <f>'Data Input'!R29</f>
        <v>40</v>
      </c>
      <c r="R28" s="131">
        <f>'Data Input'!S29</f>
        <v>36</v>
      </c>
      <c r="S28" s="131">
        <f>'Data Input'!T29</f>
        <v>34</v>
      </c>
      <c r="T28" s="131">
        <f>'Data Input'!U29</f>
        <v>31</v>
      </c>
      <c r="U28" s="131">
        <f>'Data Input'!V29</f>
        <v>47</v>
      </c>
      <c r="V28" s="131">
        <f>'Data Input'!W29</f>
        <v>57.981786999999997</v>
      </c>
      <c r="W28" s="131">
        <f>'Data Input'!X29</f>
        <v>58.585501000000001</v>
      </c>
      <c r="X28" s="131">
        <f>'Data Input'!Y29</f>
        <v>39.720883999999998</v>
      </c>
      <c r="Y28" s="131">
        <f>'Data Input'!Z29</f>
        <v>39.268236999999999</v>
      </c>
      <c r="Z28" s="131">
        <f>'Data Input'!AA29</f>
        <v>37.903300000000002</v>
      </c>
      <c r="AA28" s="131">
        <f>'Data Input'!AB29</f>
        <v>36.734502999999997</v>
      </c>
      <c r="AB28" s="486">
        <f>'Data Input'!AC29</f>
        <v>38</v>
      </c>
      <c r="AC28" s="86">
        <f>'Data Input'!AD29</f>
        <v>43.364365411764709</v>
      </c>
      <c r="AD28" s="86">
        <f>'Data Input'!AE29</f>
        <v>43.364365411764709</v>
      </c>
      <c r="AE28" s="86">
        <f>'Data Input'!AF29</f>
        <v>43.364365411764709</v>
      </c>
      <c r="AF28" s="247">
        <f>'Data Input'!AG29</f>
        <v>43.364365411764709</v>
      </c>
    </row>
    <row r="29" spans="1:32" s="63" customFormat="1" ht="15.75" thickBot="1" x14ac:dyDescent="0.3">
      <c r="A29" s="63" t="s">
        <v>65</v>
      </c>
      <c r="B29" s="64" t="s">
        <v>31</v>
      </c>
      <c r="C29" s="65">
        <f>SUM(C26:C28)</f>
        <v>334.63499999999999</v>
      </c>
      <c r="D29" s="65">
        <f>SUM(D26:D28)</f>
        <v>419.42999999999984</v>
      </c>
      <c r="E29" s="65">
        <f t="shared" ref="E29:R29" si="15">SUM(E26:E28)</f>
        <v>230.99249999999984</v>
      </c>
      <c r="F29" s="65">
        <f t="shared" si="15"/>
        <v>253.09375</v>
      </c>
      <c r="G29" s="65">
        <f t="shared" si="15"/>
        <v>217.78749999999991</v>
      </c>
      <c r="H29" s="65">
        <f t="shared" si="15"/>
        <v>296.38749999999982</v>
      </c>
      <c r="I29" s="65">
        <f t="shared" si="15"/>
        <v>142.67500000000018</v>
      </c>
      <c r="J29" s="65">
        <f t="shared" si="15"/>
        <v>35.488749999999982</v>
      </c>
      <c r="K29" s="65">
        <f t="shared" si="15"/>
        <v>-125.85750000000007</v>
      </c>
      <c r="L29" s="65">
        <f t="shared" si="15"/>
        <v>-376.7175000000002</v>
      </c>
      <c r="M29" s="65">
        <f t="shared" si="15"/>
        <v>-706.8449999999998</v>
      </c>
      <c r="N29" s="65">
        <f t="shared" si="15"/>
        <v>-748.72000000000025</v>
      </c>
      <c r="O29" s="65">
        <f t="shared" si="15"/>
        <v>-499.27999999999975</v>
      </c>
      <c r="P29" s="65">
        <f t="shared" si="15"/>
        <v>-544.16000000000076</v>
      </c>
      <c r="Q29" s="132">
        <f t="shared" si="15"/>
        <v>-521.22500000000036</v>
      </c>
      <c r="R29" s="132">
        <f t="shared" si="15"/>
        <v>-561.45000000000073</v>
      </c>
      <c r="S29" s="132">
        <f t="shared" ref="S29:AD29" si="16">SUM(S26:S28)</f>
        <v>-515.44999999999982</v>
      </c>
      <c r="T29" s="132">
        <f t="shared" si="16"/>
        <v>-761.34875000000011</v>
      </c>
      <c r="U29" s="132">
        <f t="shared" si="16"/>
        <v>-1072.8249999999998</v>
      </c>
      <c r="V29" s="132">
        <f t="shared" si="16"/>
        <v>-962.31446299999948</v>
      </c>
      <c r="W29" s="132">
        <f t="shared" si="16"/>
        <v>-793.94607542857239</v>
      </c>
      <c r="X29" s="132">
        <f t="shared" si="16"/>
        <v>-989.68786599999964</v>
      </c>
      <c r="Y29" s="132">
        <f t="shared" si="16"/>
        <v>-774.90718583482089</v>
      </c>
      <c r="Z29" s="132">
        <f t="shared" si="16"/>
        <v>-914.99420000000009</v>
      </c>
      <c r="AA29" s="132">
        <f t="shared" si="16"/>
        <v>-1413.3342470000005</v>
      </c>
      <c r="AB29" s="487">
        <f t="shared" si="16"/>
        <v>-1877.3225000000011</v>
      </c>
      <c r="AC29" s="87">
        <f t="shared" si="16"/>
        <v>-2508.3016000510092</v>
      </c>
      <c r="AD29" s="87">
        <f t="shared" si="16"/>
        <v>-3085.3383096140847</v>
      </c>
      <c r="AE29" s="87">
        <f>SUM(AE26:AE28)</f>
        <v>-3590.710747807479</v>
      </c>
      <c r="AF29" s="248">
        <f>SUM(AF26:AF28)</f>
        <v>-4046.4242670582767</v>
      </c>
    </row>
    <row r="30" spans="1:32" ht="13.5" thickTop="1" x14ac:dyDescent="0.2"/>
    <row r="31" spans="1:32" x14ac:dyDescent="0.2">
      <c r="X31" s="106"/>
    </row>
    <row r="32" spans="1:32" x14ac:dyDescent="0.2">
      <c r="X32" s="106"/>
    </row>
  </sheetData>
  <phoneticPr fontId="0" type="noConversion"/>
  <pageMargins left="0.5" right="0.5" top="1" bottom="1" header="0.5" footer="0.5"/>
  <pageSetup paperSize="5" scale="61" orientation="landscape" r:id="rId1"/>
  <headerFooter alignWithMargins="0">
    <oddFooter>&amp;L&amp;"Arial,Bold"&amp;F&amp;C&amp;A&amp;R&amp;D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04"/>
  <sheetViews>
    <sheetView zoomScaleNormal="100" workbookViewId="0">
      <pane xSplit="1" ySplit="5" topLeftCell="E6" activePane="bottomRight" state="frozen"/>
      <selection activeCell="Y18" sqref="Y18"/>
      <selection pane="topRight" activeCell="Y18" sqref="Y18"/>
      <selection pane="bottomLeft" activeCell="Y18" sqref="Y18"/>
      <selection pane="bottomRight" activeCell="J1" sqref="J1"/>
    </sheetView>
  </sheetViews>
  <sheetFormatPr baseColWidth="10" defaultColWidth="9.140625" defaultRowHeight="12.75" x14ac:dyDescent="0.2"/>
  <cols>
    <col min="1" max="1" width="55.140625" customWidth="1"/>
    <col min="2" max="2" width="20.28515625" customWidth="1"/>
    <col min="3" max="3" width="10.85546875" customWidth="1"/>
    <col min="4" max="10" width="9.28515625" bestFit="1" customWidth="1"/>
    <col min="11" max="11" width="10" customWidth="1"/>
    <col min="12" max="12" width="10.140625" customWidth="1"/>
    <col min="13" max="13" width="9.28515625" bestFit="1" customWidth="1"/>
    <col min="14" max="14" width="10.42578125" customWidth="1"/>
    <col min="16" max="16" width="10.85546875" style="115" bestFit="1" customWidth="1"/>
    <col min="17" max="18" width="11.42578125" style="115" bestFit="1" customWidth="1"/>
    <col min="19" max="19" width="10.42578125" style="115" customWidth="1"/>
    <col min="20" max="20" width="9.7109375" style="115" customWidth="1"/>
    <col min="21" max="21" width="10.42578125" style="115" customWidth="1"/>
    <col min="22" max="22" width="11" style="115" customWidth="1"/>
    <col min="23" max="23" width="10.42578125" style="115" customWidth="1"/>
    <col min="24" max="25" width="12" style="115" customWidth="1"/>
    <col min="26" max="26" width="10.42578125" style="115" bestFit="1" customWidth="1"/>
    <col min="27" max="27" width="10.42578125" style="337" bestFit="1" customWidth="1"/>
    <col min="28" max="30" width="9.7109375" style="76" bestFit="1" customWidth="1"/>
    <col min="31" max="31" width="10.42578125" style="238" bestFit="1" customWidth="1"/>
    <col min="49" max="49" width="9.140625" style="176"/>
  </cols>
  <sheetData>
    <row r="1" spans="1:49" ht="15.75" x14ac:dyDescent="0.25">
      <c r="A1" s="18" t="s">
        <v>67</v>
      </c>
      <c r="B1" s="18"/>
    </row>
    <row r="2" spans="1:49" ht="15.75" x14ac:dyDescent="0.25">
      <c r="A2" s="2" t="s">
        <v>105</v>
      </c>
      <c r="B2" s="18"/>
    </row>
    <row r="3" spans="1:49" ht="15.75" x14ac:dyDescent="0.25">
      <c r="A3" s="2" t="s">
        <v>146</v>
      </c>
      <c r="B3" s="18"/>
    </row>
    <row r="4" spans="1:49" x14ac:dyDescent="0.2">
      <c r="Y4" s="338" t="s">
        <v>178</v>
      </c>
      <c r="Z4" s="338" t="s">
        <v>294</v>
      </c>
      <c r="AA4" s="336" t="s">
        <v>309</v>
      </c>
      <c r="AB4" s="309" t="s">
        <v>315</v>
      </c>
      <c r="AC4" s="309" t="s">
        <v>316</v>
      </c>
      <c r="AD4" s="309" t="s">
        <v>317</v>
      </c>
      <c r="AE4" s="310" t="s">
        <v>318</v>
      </c>
    </row>
    <row r="5" spans="1:49" s="2" customFormat="1" ht="13.5" thickBot="1" x14ac:dyDescent="0.25">
      <c r="A5" s="19" t="s">
        <v>1</v>
      </c>
      <c r="B5" s="20" t="s">
        <v>26</v>
      </c>
      <c r="C5" s="20">
        <v>1991</v>
      </c>
      <c r="D5" s="20">
        <v>1992</v>
      </c>
      <c r="E5" s="20">
        <v>1993</v>
      </c>
      <c r="F5" s="20">
        <v>1994</v>
      </c>
      <c r="G5" s="20">
        <v>1995</v>
      </c>
      <c r="H5" s="20">
        <v>1996</v>
      </c>
      <c r="I5" s="20">
        <v>1997</v>
      </c>
      <c r="J5" s="20">
        <v>1998</v>
      </c>
      <c r="K5" s="20">
        <v>1999</v>
      </c>
      <c r="L5" s="20">
        <v>2000</v>
      </c>
      <c r="M5" s="20">
        <v>2001</v>
      </c>
      <c r="N5" s="20">
        <v>2002</v>
      </c>
      <c r="O5" s="20">
        <v>2003</v>
      </c>
      <c r="P5" s="116">
        <v>2004</v>
      </c>
      <c r="Q5" s="116">
        <v>2005</v>
      </c>
      <c r="R5" s="116">
        <v>2006</v>
      </c>
      <c r="S5" s="116">
        <v>2007</v>
      </c>
      <c r="T5" s="116">
        <v>2008</v>
      </c>
      <c r="U5" s="116">
        <v>2009</v>
      </c>
      <c r="V5" s="116">
        <v>2010</v>
      </c>
      <c r="W5" s="116">
        <v>2011</v>
      </c>
      <c r="X5" s="116">
        <v>2012</v>
      </c>
      <c r="Y5" s="116">
        <v>2013</v>
      </c>
      <c r="Z5" s="116">
        <v>2014</v>
      </c>
      <c r="AA5" s="341">
        <v>2015</v>
      </c>
      <c r="AB5" s="77">
        <v>2016</v>
      </c>
      <c r="AC5" s="77">
        <v>2017</v>
      </c>
      <c r="AD5" s="77">
        <v>2018</v>
      </c>
      <c r="AE5" s="239">
        <v>2019</v>
      </c>
      <c r="AF5" s="20">
        <v>2020</v>
      </c>
      <c r="AG5" s="20">
        <v>2021</v>
      </c>
      <c r="AH5" s="20">
        <v>2022</v>
      </c>
      <c r="AI5" s="20">
        <v>2023</v>
      </c>
      <c r="AJ5" s="20">
        <v>2024</v>
      </c>
      <c r="AK5" s="20">
        <v>2025</v>
      </c>
      <c r="AL5" s="20">
        <v>2026</v>
      </c>
      <c r="AM5" s="20">
        <v>2027</v>
      </c>
      <c r="AN5" s="20">
        <v>2028</v>
      </c>
      <c r="AO5" s="20">
        <v>2029</v>
      </c>
      <c r="AP5" s="20">
        <v>2030</v>
      </c>
      <c r="AQ5" s="20">
        <v>2031</v>
      </c>
      <c r="AR5" s="20">
        <v>2032</v>
      </c>
      <c r="AS5" s="20">
        <v>2033</v>
      </c>
      <c r="AT5" s="73"/>
      <c r="AU5" s="73"/>
      <c r="AW5" s="177" t="s">
        <v>298</v>
      </c>
    </row>
    <row r="8" spans="1:49" x14ac:dyDescent="0.2">
      <c r="A8" s="28" t="s">
        <v>69</v>
      </c>
    </row>
    <row r="9" spans="1:49" s="3" customFormat="1" x14ac:dyDescent="0.2">
      <c r="A9" s="3" t="s">
        <v>48</v>
      </c>
      <c r="B9" s="3" t="s">
        <v>49</v>
      </c>
      <c r="C9" s="3">
        <f>'Data Input'!D12</f>
        <v>24391</v>
      </c>
      <c r="D9" s="3">
        <f>'Data Input'!E12</f>
        <v>27479</v>
      </c>
      <c r="E9" s="3">
        <f>'Data Input'!F12</f>
        <v>30781</v>
      </c>
      <c r="F9" s="3">
        <f>'Data Input'!G12</f>
        <v>33998</v>
      </c>
      <c r="G9" s="3">
        <f>'Data Input'!H12</f>
        <v>36848</v>
      </c>
      <c r="H9" s="3">
        <f>'Data Input'!I12</f>
        <v>39007</v>
      </c>
      <c r="I9" s="3">
        <f>'Data Input'!J12</f>
        <v>41833</v>
      </c>
      <c r="J9" s="3">
        <f>'Data Input'!K12</f>
        <v>46470</v>
      </c>
      <c r="K9" s="3">
        <f>'Data Input'!L12</f>
        <v>48635</v>
      </c>
      <c r="L9" s="3">
        <f>'Data Input'!M12</f>
        <v>50346</v>
      </c>
      <c r="M9" s="3">
        <f>'Data Input'!N12</f>
        <v>55087</v>
      </c>
      <c r="N9" s="3">
        <f>'Data Input'!O12</f>
        <v>64369</v>
      </c>
      <c r="O9" s="3">
        <f>'Data Input'!P12</f>
        <v>67319</v>
      </c>
      <c r="P9" s="121">
        <f>'Data Input'!Q12</f>
        <v>71009</v>
      </c>
      <c r="Q9" s="121">
        <f>'Data Input'!R12</f>
        <v>74089</v>
      </c>
      <c r="R9" s="121">
        <f>'Data Input'!S12</f>
        <v>80371</v>
      </c>
      <c r="S9" s="121">
        <f>'Data Input'!T12</f>
        <v>83120</v>
      </c>
      <c r="T9" s="121">
        <f>'Data Input'!U12</f>
        <v>88356</v>
      </c>
      <c r="U9" s="121">
        <f>'Data Input'!V12</f>
        <v>92022</v>
      </c>
      <c r="V9" s="121">
        <f>'Data Input'!W12</f>
        <v>96608</v>
      </c>
      <c r="W9" s="121">
        <f>'Data Input'!X12</f>
        <v>99117</v>
      </c>
      <c r="X9" s="121">
        <f>'Data Input'!Y12</f>
        <v>103693</v>
      </c>
      <c r="Y9" s="121">
        <f>'Data Input'!Z12</f>
        <v>105954</v>
      </c>
      <c r="Z9" s="121">
        <f>'Data Input'!AA12</f>
        <v>109524</v>
      </c>
      <c r="AA9" s="344">
        <f>'Data Input'!AB12</f>
        <v>113801</v>
      </c>
      <c r="AB9" s="79">
        <f>'Data Input'!AC12</f>
        <v>116367</v>
      </c>
      <c r="AC9" s="79">
        <f>'Data Input'!AD12</f>
        <v>120891.15773981952</v>
      </c>
      <c r="AD9" s="79">
        <f>'Data Input'!AE12</f>
        <v>125674.54587496544</v>
      </c>
      <c r="AE9" s="240">
        <f>'Data Input'!AF12</f>
        <v>130724.77615093655</v>
      </c>
      <c r="AW9" s="178"/>
    </row>
    <row r="10" spans="1:49" s="3" customFormat="1" x14ac:dyDescent="0.2">
      <c r="A10" s="3" t="s">
        <v>70</v>
      </c>
      <c r="B10" s="3" t="s">
        <v>49</v>
      </c>
      <c r="C10" s="3">
        <f>'Data Input'!E14</f>
        <v>1180</v>
      </c>
      <c r="D10" s="3">
        <f>'Data Input'!F14</f>
        <v>1188</v>
      </c>
      <c r="E10" s="3">
        <f>'Data Input'!G14</f>
        <v>1170</v>
      </c>
      <c r="F10" s="3">
        <f>'Data Input'!H14</f>
        <v>1292</v>
      </c>
      <c r="G10" s="3">
        <f>'Data Input'!I14</f>
        <v>1363</v>
      </c>
      <c r="H10" s="3">
        <f>'Data Input'!J14</f>
        <v>1337</v>
      </c>
      <c r="I10" s="3">
        <f>'Data Input'!K14</f>
        <v>1204</v>
      </c>
      <c r="J10" s="3">
        <f>'Data Input'!L14</f>
        <v>1305</v>
      </c>
      <c r="K10" s="3">
        <f>'Data Input'!M14</f>
        <v>1301</v>
      </c>
      <c r="L10" s="3">
        <f>'Data Input'!N14</f>
        <v>1300</v>
      </c>
      <c r="M10" s="3">
        <f>'Data Input'!O14</f>
        <v>1539</v>
      </c>
      <c r="N10" s="3">
        <f>'Data Input'!P14</f>
        <v>1695</v>
      </c>
      <c r="O10" s="3">
        <f>'Data Input'!Q14</f>
        <v>1735</v>
      </c>
      <c r="P10" s="121">
        <f>'Data Input'!R14</f>
        <v>1756</v>
      </c>
      <c r="Q10" s="121">
        <f>'Data Input'!S14</f>
        <v>1909</v>
      </c>
      <c r="R10" s="121">
        <f>'Data Input'!T14</f>
        <v>1995</v>
      </c>
      <c r="S10" s="121">
        <f>'Data Input'!U14</f>
        <v>2102</v>
      </c>
      <c r="T10" s="121">
        <f>'Data Input'!V14</f>
        <v>2236</v>
      </c>
      <c r="U10" s="121">
        <f>'Data Input'!W14</f>
        <v>2349</v>
      </c>
      <c r="V10" s="121">
        <f>'Data Input'!X14</f>
        <v>2434</v>
      </c>
      <c r="W10" s="121">
        <f>'Data Input'!Y14</f>
        <v>2565</v>
      </c>
      <c r="X10" s="121">
        <f>'Data Input'!Z14</f>
        <v>2791</v>
      </c>
      <c r="Y10" s="121">
        <f>'Data Input'!AA14</f>
        <v>2654</v>
      </c>
      <c r="Z10" s="121">
        <f>'Data Input'!AB14</f>
        <v>2924</v>
      </c>
      <c r="AA10" s="344">
        <f>'Data Input'!AC14</f>
        <v>2902</v>
      </c>
      <c r="AB10" s="79">
        <f>'Data Input'!AD14</f>
        <v>3023.59375</v>
      </c>
      <c r="AC10" s="79">
        <f>'Data Input'!AE14</f>
        <v>3262.1026904296868</v>
      </c>
      <c r="AD10" s="79">
        <f>'Data Input'!AF14</f>
        <v>3500.4040891754139</v>
      </c>
      <c r="AE10" s="240">
        <f>'Data Input'!AG14</f>
        <v>3756.0074825188831</v>
      </c>
      <c r="AW10" s="178"/>
    </row>
    <row r="11" spans="1:49" s="121" customFormat="1" x14ac:dyDescent="0.2">
      <c r="A11" s="121" t="s">
        <v>341</v>
      </c>
      <c r="R11" s="121">
        <f>'Data Input'!T15</f>
        <v>17</v>
      </c>
      <c r="S11" s="121">
        <f>'Data Input'!U15</f>
        <v>19</v>
      </c>
      <c r="T11" s="121">
        <f>'Data Input'!V15</f>
        <v>17</v>
      </c>
      <c r="U11" s="121">
        <f>'Data Input'!W15</f>
        <v>13</v>
      </c>
      <c r="V11" s="121">
        <f>'Data Input'!X15</f>
        <v>11</v>
      </c>
      <c r="W11" s="121">
        <f>'Data Input'!Y15</f>
        <v>15</v>
      </c>
      <c r="X11" s="121">
        <f>'Data Input'!Z15</f>
        <v>13</v>
      </c>
      <c r="Y11" s="121">
        <f>'Data Input'!AA15</f>
        <v>13</v>
      </c>
      <c r="Z11" s="121">
        <f>'Data Input'!AB15</f>
        <v>13</v>
      </c>
      <c r="AA11" s="344">
        <f>'Data Input'!AC15</f>
        <v>14</v>
      </c>
      <c r="AB11" s="79">
        <f>'Data Input'!AD15</f>
        <v>13</v>
      </c>
      <c r="AC11" s="79">
        <f>'Data Input'!AE15</f>
        <v>13</v>
      </c>
      <c r="AD11" s="79">
        <f>'Data Input'!AF15</f>
        <v>13</v>
      </c>
      <c r="AE11" s="240">
        <f>'Data Input'!AG15</f>
        <v>13</v>
      </c>
      <c r="AW11" s="312"/>
    </row>
    <row r="12" spans="1:49" s="3" customFormat="1" x14ac:dyDescent="0.2">
      <c r="A12" s="3" t="s">
        <v>71</v>
      </c>
      <c r="B12" s="3" t="s">
        <v>49</v>
      </c>
      <c r="C12" s="3">
        <f>'Data Input'!E16</f>
        <v>0</v>
      </c>
      <c r="D12" s="3">
        <f>'Data Input'!F16</f>
        <v>0</v>
      </c>
      <c r="E12" s="3">
        <f>'Data Input'!G16</f>
        <v>0</v>
      </c>
      <c r="F12" s="3">
        <f>'Data Input'!H16</f>
        <v>0</v>
      </c>
      <c r="G12" s="3">
        <f>'Data Input'!I16</f>
        <v>0</v>
      </c>
      <c r="H12" s="3">
        <f>'Data Input'!J16</f>
        <v>258</v>
      </c>
      <c r="I12" s="3">
        <f>'Data Input'!K16</f>
        <v>2013</v>
      </c>
      <c r="J12" s="3">
        <f>'Data Input'!L16</f>
        <v>0</v>
      </c>
      <c r="K12" s="3">
        <f>'Data Input'!M16</f>
        <v>0</v>
      </c>
      <c r="L12" s="3">
        <f>'Data Input'!N16</f>
        <v>0</v>
      </c>
      <c r="M12" s="3">
        <f>'Data Input'!O16</f>
        <v>4519</v>
      </c>
      <c r="N12" s="3">
        <f>'Data Input'!P16</f>
        <v>0</v>
      </c>
      <c r="O12" s="3">
        <f>'Data Input'!Q16</f>
        <v>0</v>
      </c>
      <c r="P12" s="121">
        <f>'Data Input'!R16</f>
        <v>0</v>
      </c>
      <c r="Q12" s="121">
        <f>'Data Input'!S16</f>
        <v>0</v>
      </c>
      <c r="R12" s="121">
        <f>'Data Input'!T16</f>
        <v>0</v>
      </c>
      <c r="S12" s="121">
        <f>'Data Input'!U16</f>
        <v>0</v>
      </c>
      <c r="T12" s="121">
        <f>'Data Input'!V16</f>
        <v>0</v>
      </c>
      <c r="U12" s="121">
        <f>'Data Input'!W16</f>
        <v>0</v>
      </c>
      <c r="V12" s="121">
        <f>'Data Input'!X16</f>
        <v>0</v>
      </c>
      <c r="W12" s="121">
        <f>'Data Input'!Y16</f>
        <v>0</v>
      </c>
      <c r="X12" s="121">
        <f>'Data Input'!Z16</f>
        <v>0</v>
      </c>
      <c r="Y12" s="121">
        <f>'Data Input'!AA16</f>
        <v>0</v>
      </c>
      <c r="Z12" s="121">
        <f>'Data Input'!AB16</f>
        <v>0</v>
      </c>
      <c r="AA12" s="344">
        <f>'Data Input'!AC16</f>
        <v>0</v>
      </c>
      <c r="AB12" s="79">
        <f>'Data Input'!AD16</f>
        <v>0</v>
      </c>
      <c r="AC12" s="79">
        <f>'Data Input'!AE16</f>
        <v>0</v>
      </c>
      <c r="AD12" s="79">
        <f>'Data Input'!AF16</f>
        <v>0</v>
      </c>
      <c r="AE12" s="240">
        <f>'Data Input'!AG16</f>
        <v>0</v>
      </c>
      <c r="AW12" s="178"/>
    </row>
    <row r="13" spans="1:49" s="3" customFormat="1" x14ac:dyDescent="0.2">
      <c r="A13" s="3" t="s">
        <v>72</v>
      </c>
      <c r="B13" s="3" t="s">
        <v>73</v>
      </c>
      <c r="C13" s="3">
        <f>Interest!D15</f>
        <v>2518.0662499999999</v>
      </c>
      <c r="D13" s="3">
        <f>Interest!E15</f>
        <v>2623.1875</v>
      </c>
      <c r="E13" s="3">
        <f>Interest!F15</f>
        <v>2700.7312499999998</v>
      </c>
      <c r="F13" s="3">
        <f>Interest!G15</f>
        <v>2981.9124999999999</v>
      </c>
      <c r="G13" s="3">
        <f>Interest!H15</f>
        <v>3044.1675</v>
      </c>
      <c r="H13" s="3">
        <f>Interest!I15</f>
        <v>3221.1712500000003</v>
      </c>
      <c r="I13" s="3">
        <f>Interest!J15</f>
        <v>3296.8887500000001</v>
      </c>
      <c r="J13" s="3">
        <f>Interest!K15</f>
        <v>3353.9224999999997</v>
      </c>
      <c r="K13" s="3">
        <f>Interest!L15</f>
        <v>3490.6212499999997</v>
      </c>
      <c r="L13" s="3">
        <f>Interest!M15</f>
        <v>3480.7850000000003</v>
      </c>
      <c r="M13" s="3">
        <f>Interest!N15</f>
        <v>3960</v>
      </c>
      <c r="N13" s="3">
        <f>Interest!O15</f>
        <v>4457.4950000000008</v>
      </c>
      <c r="O13" s="3">
        <f>Interest!P15</f>
        <v>4661.09</v>
      </c>
      <c r="P13" s="121">
        <f>Interest!Q15</f>
        <v>4912.1100000000006</v>
      </c>
      <c r="Q13" s="121">
        <f>Interest!R15</f>
        <v>5126.3450000000003</v>
      </c>
      <c r="R13" s="121">
        <f>Interest!S15</f>
        <v>5364.09</v>
      </c>
      <c r="S13" s="121">
        <f>Interest!T15</f>
        <v>5546.50875</v>
      </c>
      <c r="T13" s="121">
        <f>Interest!U15</f>
        <v>5898.5212500000007</v>
      </c>
      <c r="U13" s="121">
        <f>Interest!V15</f>
        <v>6142.9725000000008</v>
      </c>
      <c r="V13" s="121">
        <f>Interest!W15</f>
        <v>6451.6837500000001</v>
      </c>
      <c r="W13" s="121">
        <f>Interest!X15</f>
        <v>6620.0962500000005</v>
      </c>
      <c r="X13" s="121">
        <f>Interest!Y15</f>
        <v>6927.7275000000009</v>
      </c>
      <c r="Y13" s="121">
        <f>Interest!Z15</f>
        <v>7068.0937500000009</v>
      </c>
      <c r="Z13" s="121">
        <f>Interest!AA15</f>
        <v>7312.9162500000002</v>
      </c>
      <c r="AA13" s="344">
        <f>Interest!AB15</f>
        <v>7311.915</v>
      </c>
      <c r="AB13" s="79">
        <f>Interest!AC15</f>
        <v>7189.8691871818601</v>
      </c>
      <c r="AC13" s="79">
        <f>Interest!AD15</f>
        <v>7472.1518078976851</v>
      </c>
      <c r="AD13" s="79">
        <f>Interest!AE15</f>
        <v>7770.3354924969935</v>
      </c>
      <c r="AE13" s="240">
        <f>Interest!AF15</f>
        <v>8085.4618421636733</v>
      </c>
      <c r="AW13" s="178"/>
    </row>
    <row r="14" spans="1:49" s="3" customFormat="1" x14ac:dyDescent="0.2">
      <c r="A14" s="3" t="s">
        <v>74</v>
      </c>
      <c r="B14" s="3" t="s">
        <v>49</v>
      </c>
      <c r="C14" s="6">
        <f>'Data Input'!E18</f>
        <v>-829</v>
      </c>
      <c r="D14" s="6">
        <f>'Data Input'!F18</f>
        <v>-921</v>
      </c>
      <c r="E14" s="6">
        <f>'Data Input'!G18</f>
        <v>-1001</v>
      </c>
      <c r="F14" s="6">
        <f>'Data Input'!H18</f>
        <v>-1130</v>
      </c>
      <c r="G14" s="6">
        <f>'Data Input'!I18</f>
        <v>-1261</v>
      </c>
      <c r="H14" s="6">
        <f>'Data Input'!J18</f>
        <v>-1520</v>
      </c>
      <c r="I14" s="6">
        <f>'Data Input'!K18</f>
        <v>-1802</v>
      </c>
      <c r="J14" s="6">
        <f>'Data Input'!L18</f>
        <v>-2103</v>
      </c>
      <c r="K14" s="6">
        <f>'Data Input'!M18</f>
        <v>-2278</v>
      </c>
      <c r="L14" s="6">
        <f>'Data Input'!N18</f>
        <v>-2541</v>
      </c>
      <c r="M14" s="6">
        <f>'Data Input'!O18</f>
        <v>-3080</v>
      </c>
      <c r="N14" s="6">
        <f>'Data Input'!P18</f>
        <v>-3076</v>
      </c>
      <c r="O14" s="6">
        <f>'Data Input'!Q18</f>
        <v>-3199</v>
      </c>
      <c r="P14" s="125">
        <f>'Data Input'!R18</f>
        <v>-3428</v>
      </c>
      <c r="Q14" s="125">
        <f>'Data Input'!S18</f>
        <v>-3620</v>
      </c>
      <c r="R14" s="125">
        <f>'Data Input'!T18</f>
        <v>-3818</v>
      </c>
      <c r="S14" s="125">
        <f>'Data Input'!U18</f>
        <v>-4020</v>
      </c>
      <c r="T14" s="125">
        <f>'Data Input'!V18</f>
        <v>-4194</v>
      </c>
      <c r="U14" s="125">
        <f>'Data Input'!W18</f>
        <v>-4392</v>
      </c>
      <c r="V14" s="125">
        <f>'Data Input'!X18</f>
        <v>-4500</v>
      </c>
      <c r="W14" s="125">
        <f>'Data Input'!Y18</f>
        <v>-4663</v>
      </c>
      <c r="X14" s="125">
        <f>'Data Input'!Z18</f>
        <v>-4924</v>
      </c>
      <c r="Y14" s="125">
        <f>'Data Input'!AA18</f>
        <v>-5150</v>
      </c>
      <c r="Z14" s="125">
        <f>'Data Input'!AB18</f>
        <v>-5306</v>
      </c>
      <c r="AA14" s="345">
        <f>'Data Input'!AC18</f>
        <v>-5536</v>
      </c>
      <c r="AB14" s="81">
        <f>'Data Input'!AD18</f>
        <v>-5694.7797601804714</v>
      </c>
      <c r="AC14" s="81">
        <f>'Data Input'!AE18</f>
        <v>-5948.560317342809</v>
      </c>
      <c r="AD14" s="81">
        <f>'Data Input'!AF18</f>
        <v>-6211.7600792025059</v>
      </c>
      <c r="AE14" s="241">
        <f>'Data Input'!AG18</f>
        <v>-6483.78083515448</v>
      </c>
      <c r="AW14" s="178"/>
    </row>
    <row r="15" spans="1:49" s="8" customFormat="1" x14ac:dyDescent="0.2">
      <c r="A15" s="8" t="s">
        <v>297</v>
      </c>
      <c r="B15" s="8" t="s">
        <v>31</v>
      </c>
      <c r="C15" s="8">
        <f>SUM(C9:C14)</f>
        <v>27260.06625</v>
      </c>
      <c r="D15" s="8">
        <f t="shared" ref="D15:P15" si="0">SUM(D9:D14)</f>
        <v>30369.1875</v>
      </c>
      <c r="E15" s="8">
        <f t="shared" si="0"/>
        <v>33650.731249999997</v>
      </c>
      <c r="F15" s="8">
        <f t="shared" si="0"/>
        <v>37141.912499999999</v>
      </c>
      <c r="G15" s="8">
        <f t="shared" si="0"/>
        <v>39994.167500000003</v>
      </c>
      <c r="H15" s="8">
        <f t="shared" si="0"/>
        <v>42303.171249999999</v>
      </c>
      <c r="I15" s="8">
        <f t="shared" si="0"/>
        <v>46544.888749999998</v>
      </c>
      <c r="J15" s="8">
        <f t="shared" si="0"/>
        <v>49025.922500000001</v>
      </c>
      <c r="K15" s="8">
        <f t="shared" si="0"/>
        <v>51148.621249999997</v>
      </c>
      <c r="L15" s="8">
        <f t="shared" si="0"/>
        <v>52585.785000000003</v>
      </c>
      <c r="M15" s="8">
        <f t="shared" si="0"/>
        <v>62025</v>
      </c>
      <c r="N15" s="8">
        <f t="shared" si="0"/>
        <v>67445.494999999995</v>
      </c>
      <c r="O15" s="8">
        <f t="shared" si="0"/>
        <v>70516.09</v>
      </c>
      <c r="P15" s="119">
        <f t="shared" si="0"/>
        <v>74249.11</v>
      </c>
      <c r="Q15" s="119">
        <f t="shared" ref="Q15:AC15" si="1">SUM(Q9:Q14)</f>
        <v>77504.345000000001</v>
      </c>
      <c r="R15" s="119">
        <f t="shared" si="1"/>
        <v>83929.09</v>
      </c>
      <c r="S15" s="119">
        <f t="shared" si="1"/>
        <v>86767.508749999994</v>
      </c>
      <c r="T15" s="119">
        <f t="shared" si="1"/>
        <v>92313.521250000005</v>
      </c>
      <c r="U15" s="119">
        <f t="shared" si="1"/>
        <v>96134.972500000003</v>
      </c>
      <c r="V15" s="119">
        <f t="shared" si="1"/>
        <v>101004.68375</v>
      </c>
      <c r="W15" s="119">
        <f t="shared" si="1"/>
        <v>103654.09625</v>
      </c>
      <c r="X15" s="119">
        <f t="shared" si="1"/>
        <v>108500.72750000001</v>
      </c>
      <c r="Y15" s="119">
        <f t="shared" si="1"/>
        <v>110539.09375</v>
      </c>
      <c r="Z15" s="119">
        <f t="shared" si="1"/>
        <v>114467.91624999999</v>
      </c>
      <c r="AA15" s="342">
        <f t="shared" si="1"/>
        <v>118492.91499999999</v>
      </c>
      <c r="AB15" s="78">
        <f t="shared" si="1"/>
        <v>120898.68317700138</v>
      </c>
      <c r="AC15" s="78">
        <f t="shared" si="1"/>
        <v>125689.8519208041</v>
      </c>
      <c r="AD15" s="78">
        <f t="shared" ref="AD15:AE15" si="2">SUM(AD9:AD14)</f>
        <v>130746.52537743535</v>
      </c>
      <c r="AE15" s="242">
        <f t="shared" si="2"/>
        <v>136095.46464046463</v>
      </c>
      <c r="AW15" s="179"/>
    </row>
    <row r="16" spans="1:49" s="3" customFormat="1" x14ac:dyDescent="0.2">
      <c r="A16" s="3" t="s">
        <v>75</v>
      </c>
      <c r="B16" s="3" t="s">
        <v>49</v>
      </c>
      <c r="C16" s="6">
        <f>'Data Input'!E12</f>
        <v>27479</v>
      </c>
      <c r="D16" s="6">
        <f>'Data Input'!F12</f>
        <v>30781</v>
      </c>
      <c r="E16" s="6">
        <f>'Data Input'!G12</f>
        <v>33998</v>
      </c>
      <c r="F16" s="6">
        <f>'Data Input'!H12</f>
        <v>36848</v>
      </c>
      <c r="G16" s="6">
        <f>'Data Input'!I12</f>
        <v>39007</v>
      </c>
      <c r="H16" s="6">
        <f>'Data Input'!J12</f>
        <v>41833</v>
      </c>
      <c r="I16" s="6">
        <f>'Data Input'!K12</f>
        <v>46470</v>
      </c>
      <c r="J16" s="6">
        <f>'Data Input'!L12</f>
        <v>48635</v>
      </c>
      <c r="K16" s="6">
        <f>'Data Input'!M12</f>
        <v>50346</v>
      </c>
      <c r="L16" s="6">
        <f>'Data Input'!N12</f>
        <v>55087</v>
      </c>
      <c r="M16" s="6">
        <f>'Data Input'!O12</f>
        <v>64369</v>
      </c>
      <c r="N16" s="6">
        <f>'Data Input'!P12</f>
        <v>67319</v>
      </c>
      <c r="O16" s="6">
        <f>'Data Input'!Q12</f>
        <v>71009</v>
      </c>
      <c r="P16" s="125">
        <f>'Data Input'!R12</f>
        <v>74089</v>
      </c>
      <c r="Q16" s="125">
        <f>'Data Input'!S12</f>
        <v>80371</v>
      </c>
      <c r="R16" s="125">
        <f>'Data Input'!T12</f>
        <v>83120</v>
      </c>
      <c r="S16" s="125">
        <f>'Data Input'!U12</f>
        <v>88356</v>
      </c>
      <c r="T16" s="125">
        <f>'Data Input'!V12</f>
        <v>92022</v>
      </c>
      <c r="U16" s="125">
        <f>'Data Input'!W12</f>
        <v>96608</v>
      </c>
      <c r="V16" s="125">
        <f>'Data Input'!X12</f>
        <v>99117</v>
      </c>
      <c r="W16" s="125">
        <f>'Data Input'!Y12</f>
        <v>103693</v>
      </c>
      <c r="X16" s="125">
        <f>'Data Input'!Z12</f>
        <v>105954</v>
      </c>
      <c r="Y16" s="125">
        <f>'Data Input'!AA12</f>
        <v>109524</v>
      </c>
      <c r="Z16" s="125">
        <f>'Data Input'!AB12</f>
        <v>113801</v>
      </c>
      <c r="AA16" s="345">
        <f>'Data Input'!AC12</f>
        <v>116367</v>
      </c>
      <c r="AB16" s="81">
        <f>'Data Input'!AD12</f>
        <v>120891.15773981952</v>
      </c>
      <c r="AC16" s="81">
        <f>'Data Input'!AE12</f>
        <v>125674.54587496544</v>
      </c>
      <c r="AD16" s="81">
        <f>'Data Input'!AF12</f>
        <v>130724.77615093655</v>
      </c>
      <c r="AE16" s="241">
        <f>'Data Input'!AG12</f>
        <v>136066.48289917331</v>
      </c>
      <c r="AW16" s="178"/>
    </row>
    <row r="17" spans="1:49" s="25" customFormat="1" x14ac:dyDescent="0.2">
      <c r="A17" s="25" t="s">
        <v>76</v>
      </c>
      <c r="B17" s="8" t="s">
        <v>31</v>
      </c>
      <c r="C17" s="26">
        <f>C15-C16</f>
        <v>-218.93375000000015</v>
      </c>
      <c r="D17" s="26">
        <f t="shared" ref="D17:P17" si="3">D15-D16</f>
        <v>-411.8125</v>
      </c>
      <c r="E17" s="26">
        <f t="shared" si="3"/>
        <v>-347.26875000000291</v>
      </c>
      <c r="F17" s="26">
        <f t="shared" si="3"/>
        <v>293.91249999999854</v>
      </c>
      <c r="G17" s="26">
        <f t="shared" si="3"/>
        <v>987.1675000000032</v>
      </c>
      <c r="H17" s="26">
        <f t="shared" si="3"/>
        <v>470.17124999999942</v>
      </c>
      <c r="I17" s="26">
        <f t="shared" si="3"/>
        <v>74.888749999998254</v>
      </c>
      <c r="J17" s="26">
        <f t="shared" si="3"/>
        <v>390.92250000000058</v>
      </c>
      <c r="K17" s="26">
        <f t="shared" si="3"/>
        <v>802.62124999999651</v>
      </c>
      <c r="L17" s="26">
        <f t="shared" si="3"/>
        <v>-2501.2149999999965</v>
      </c>
      <c r="M17" s="26">
        <f t="shared" si="3"/>
        <v>-2344</v>
      </c>
      <c r="N17" s="26">
        <f t="shared" si="3"/>
        <v>126.49499999999534</v>
      </c>
      <c r="O17" s="26">
        <f t="shared" si="3"/>
        <v>-492.91000000000349</v>
      </c>
      <c r="P17" s="129">
        <f t="shared" si="3"/>
        <v>160.11000000000058</v>
      </c>
      <c r="Q17" s="129">
        <f t="shared" ref="Q17:AC17" si="4">Q15-Q16</f>
        <v>-2866.6549999999988</v>
      </c>
      <c r="R17" s="129">
        <f t="shared" si="4"/>
        <v>809.08999999999651</v>
      </c>
      <c r="S17" s="129">
        <f t="shared" si="4"/>
        <v>-1588.4912500000064</v>
      </c>
      <c r="T17" s="129">
        <f t="shared" si="4"/>
        <v>291.52125000000524</v>
      </c>
      <c r="U17" s="129">
        <f t="shared" si="4"/>
        <v>-473.02749999999651</v>
      </c>
      <c r="V17" s="129">
        <f t="shared" si="4"/>
        <v>1887.6837499999965</v>
      </c>
      <c r="W17" s="129">
        <f t="shared" si="4"/>
        <v>-38.903749999997672</v>
      </c>
      <c r="X17" s="129">
        <f t="shared" si="4"/>
        <v>2546.7275000000081</v>
      </c>
      <c r="Y17" s="129">
        <f t="shared" si="4"/>
        <v>1015.09375</v>
      </c>
      <c r="Z17" s="129">
        <f t="shared" si="4"/>
        <v>666.91624999999476</v>
      </c>
      <c r="AA17" s="346">
        <f t="shared" si="4"/>
        <v>2125.9149999999936</v>
      </c>
      <c r="AB17" s="83">
        <f t="shared" si="4"/>
        <v>7.5254371818591608</v>
      </c>
      <c r="AC17" s="83">
        <f t="shared" si="4"/>
        <v>15.306045838660793</v>
      </c>
      <c r="AD17" s="83">
        <f t="shared" ref="AD17:AE17" si="5">AD15-AD16</f>
        <v>21.749226498795906</v>
      </c>
      <c r="AE17" s="244">
        <f t="shared" si="5"/>
        <v>28.981741291325307</v>
      </c>
      <c r="AW17" s="185"/>
    </row>
    <row r="19" spans="1:49" x14ac:dyDescent="0.2">
      <c r="A19" s="28" t="s">
        <v>77</v>
      </c>
    </row>
    <row r="20" spans="1:49" s="3" customFormat="1" x14ac:dyDescent="0.2">
      <c r="A20" s="3" t="s">
        <v>296</v>
      </c>
      <c r="B20" s="3" t="s">
        <v>49</v>
      </c>
      <c r="C20" s="3">
        <f>'Data Input'!D28</f>
        <v>20124</v>
      </c>
      <c r="D20" s="3">
        <f>'Data Input'!E28</f>
        <v>24697</v>
      </c>
      <c r="E20" s="3">
        <f>'Data Input'!F28</f>
        <v>27773</v>
      </c>
      <c r="F20" s="3">
        <f>'Data Input'!G28</f>
        <v>33711</v>
      </c>
      <c r="G20" s="3">
        <f>'Data Input'!H28</f>
        <v>34242</v>
      </c>
      <c r="H20" s="3">
        <f>'Data Input'!I28</f>
        <v>38092</v>
      </c>
      <c r="I20" s="3">
        <f>'Data Input'!J28</f>
        <v>43013</v>
      </c>
      <c r="J20" s="3">
        <f>'Data Input'!K28</f>
        <v>48901</v>
      </c>
      <c r="K20" s="3">
        <f>'Data Input'!L28</f>
        <v>54382</v>
      </c>
      <c r="L20" s="3">
        <f>'Data Input'!M28</f>
        <v>61039</v>
      </c>
      <c r="M20" s="3">
        <f>'Data Input'!N28</f>
        <v>68780</v>
      </c>
      <c r="N20" s="3">
        <f>'Data Input'!O28</f>
        <v>72429</v>
      </c>
      <c r="O20" s="3">
        <f>'Data Input'!P28</f>
        <v>75857</v>
      </c>
      <c r="P20" s="121">
        <f>'Data Input'!Q28</f>
        <v>79157</v>
      </c>
      <c r="Q20" s="121">
        <f>'Data Input'!R28</f>
        <v>82791</v>
      </c>
      <c r="R20" s="121">
        <f>'Data Input'!S28</f>
        <v>88694</v>
      </c>
      <c r="S20" s="121">
        <f>'Data Input'!T28</f>
        <v>94850</v>
      </c>
      <c r="T20" s="121">
        <f>'Data Input'!U28</f>
        <v>104917</v>
      </c>
      <c r="U20" s="121">
        <f>'Data Input'!V28</f>
        <v>106957</v>
      </c>
      <c r="V20" s="121">
        <f>'Data Input'!W28</f>
        <v>109112</v>
      </c>
      <c r="W20" s="121">
        <f>'Data Input'!X28</f>
        <v>114246</v>
      </c>
      <c r="X20" s="121">
        <f>'Data Input'!Y28</f>
        <v>115685</v>
      </c>
      <c r="Y20" s="121">
        <f>'Data Input'!Z28</f>
        <v>119864</v>
      </c>
      <c r="Z20" s="121">
        <f>'Data Input'!AA28</f>
        <v>130867</v>
      </c>
      <c r="AA20" s="344">
        <f>'Data Input'!AB28</f>
        <v>143076</v>
      </c>
      <c r="AB20" s="79">
        <f>'Data Input'!AC28</f>
        <v>156998</v>
      </c>
      <c r="AC20" s="79">
        <f>'Data Input'!AD28</f>
        <v>170805.87488462828</v>
      </c>
      <c r="AD20" s="79">
        <f>'Data Input'!AE28</f>
        <v>183733.14824921408</v>
      </c>
      <c r="AE20" s="240">
        <f>'Data Input'!AF28</f>
        <v>196139.25039928145</v>
      </c>
      <c r="AW20" s="178"/>
    </row>
    <row r="21" spans="1:49" s="3" customFormat="1" x14ac:dyDescent="0.2">
      <c r="A21" s="3" t="s">
        <v>80</v>
      </c>
      <c r="C21" s="23" t="s">
        <v>12</v>
      </c>
      <c r="D21" s="23" t="s">
        <v>12</v>
      </c>
      <c r="E21" s="23" t="s">
        <v>12</v>
      </c>
      <c r="F21" s="3">
        <v>-784</v>
      </c>
      <c r="G21" s="23" t="s">
        <v>12</v>
      </c>
      <c r="H21" s="23" t="s">
        <v>12</v>
      </c>
      <c r="I21" s="23" t="s">
        <v>12</v>
      </c>
      <c r="J21" s="23" t="s">
        <v>12</v>
      </c>
      <c r="K21" s="23" t="s">
        <v>12</v>
      </c>
      <c r="L21" s="23" t="s">
        <v>12</v>
      </c>
      <c r="M21" s="23" t="s">
        <v>12</v>
      </c>
      <c r="N21" s="23" t="s">
        <v>12</v>
      </c>
      <c r="O21" s="23" t="s">
        <v>12</v>
      </c>
      <c r="P21" s="130" t="s">
        <v>12</v>
      </c>
      <c r="Q21" s="130" t="s">
        <v>12</v>
      </c>
      <c r="R21" s="130" t="s">
        <v>12</v>
      </c>
      <c r="S21" s="130" t="s">
        <v>12</v>
      </c>
      <c r="T21" s="130" t="s">
        <v>12</v>
      </c>
      <c r="U21" s="130" t="s">
        <v>12</v>
      </c>
      <c r="V21" s="130" t="s">
        <v>12</v>
      </c>
      <c r="W21" s="130" t="s">
        <v>12</v>
      </c>
      <c r="X21" s="130" t="s">
        <v>12</v>
      </c>
      <c r="Y21" s="130" t="s">
        <v>12</v>
      </c>
      <c r="Z21" s="130" t="s">
        <v>12</v>
      </c>
      <c r="AA21" s="347" t="s">
        <v>12</v>
      </c>
      <c r="AB21" s="84" t="s">
        <v>12</v>
      </c>
      <c r="AC21" s="84" t="s">
        <v>12</v>
      </c>
      <c r="AD21" s="84" t="s">
        <v>12</v>
      </c>
      <c r="AE21" s="245" t="s">
        <v>12</v>
      </c>
      <c r="AW21" s="178"/>
    </row>
    <row r="22" spans="1:49" s="3" customFormat="1" x14ac:dyDescent="0.2">
      <c r="A22" s="3" t="s">
        <v>84</v>
      </c>
      <c r="B22" s="3" t="s">
        <v>49</v>
      </c>
      <c r="C22" s="23" t="s">
        <v>12</v>
      </c>
      <c r="D22" s="23" t="s">
        <v>12</v>
      </c>
      <c r="E22" s="23" t="s">
        <v>12</v>
      </c>
      <c r="F22" s="23" t="s">
        <v>12</v>
      </c>
      <c r="G22" s="23">
        <f>'Data Input'!H29*-1</f>
        <v>-70</v>
      </c>
      <c r="H22" s="23">
        <f>'Data Input'!I29*-1</f>
        <v>-79</v>
      </c>
      <c r="I22" s="23">
        <f>'Data Input'!J29*-1</f>
        <v>-61</v>
      </c>
      <c r="J22" s="23">
        <f>'Data Input'!K29*-1</f>
        <v>-68</v>
      </c>
      <c r="K22" s="23">
        <f>'Data Input'!L29*-1</f>
        <v>-53</v>
      </c>
      <c r="L22" s="23">
        <f>'Data Input'!M29*-1</f>
        <v>-44</v>
      </c>
      <c r="M22" s="23">
        <f>'Data Input'!N29*-1</f>
        <v>-41</v>
      </c>
      <c r="N22" s="23">
        <f>'Data Input'!O29*-1</f>
        <v>-44</v>
      </c>
      <c r="O22" s="23">
        <f>'Data Input'!P29*-1</f>
        <v>-54</v>
      </c>
      <c r="P22" s="130">
        <f>'Data Input'!Q29*-1</f>
        <v>-43</v>
      </c>
      <c r="Q22" s="130">
        <f>'Data Input'!R29*-1</f>
        <v>-40</v>
      </c>
      <c r="R22" s="130">
        <f>'Data Input'!S29*-1</f>
        <v>-36</v>
      </c>
      <c r="S22" s="130">
        <f>'Data Input'!T29*-1</f>
        <v>-34</v>
      </c>
      <c r="T22" s="130">
        <f>'Data Input'!U29*-1</f>
        <v>-31</v>
      </c>
      <c r="U22" s="130">
        <f>'Data Input'!V29*-1</f>
        <v>-47</v>
      </c>
      <c r="V22" s="130">
        <f>'Data Input'!W29*-1</f>
        <v>-57.981786999999997</v>
      </c>
      <c r="W22" s="130">
        <f>'Data Input'!X29*-1</f>
        <v>-58.585501000000001</v>
      </c>
      <c r="X22" s="130">
        <f>'Data Input'!Y29*-1</f>
        <v>-39.720883999999998</v>
      </c>
      <c r="Y22" s="130">
        <f>'Data Input'!Z29*-1</f>
        <v>-39.268236999999999</v>
      </c>
      <c r="Z22" s="130">
        <f>'Data Input'!AA29*-1</f>
        <v>-37.903300000000002</v>
      </c>
      <c r="AA22" s="347">
        <f>'Data Input'!AB29*-1</f>
        <v>-36.734502999999997</v>
      </c>
      <c r="AB22" s="84">
        <f>'Data Input'!AC29*-1</f>
        <v>-38</v>
      </c>
      <c r="AC22" s="84">
        <f>'Data Input'!AD29*-1</f>
        <v>-43.364365411764709</v>
      </c>
      <c r="AD22" s="84">
        <f>'Data Input'!AE29*-1</f>
        <v>-43.364365411764709</v>
      </c>
      <c r="AE22" s="245">
        <f>'Data Input'!AF29*-1</f>
        <v>-43.364365411764709</v>
      </c>
      <c r="AW22" s="178"/>
    </row>
    <row r="23" spans="1:49" s="3" customFormat="1" x14ac:dyDescent="0.2">
      <c r="A23" s="3" t="s">
        <v>78</v>
      </c>
      <c r="B23" s="3" t="s">
        <v>49</v>
      </c>
      <c r="C23" s="3">
        <f>'Data Input'!E38</f>
        <v>1530</v>
      </c>
      <c r="D23" s="3">
        <f>'Data Input'!F38</f>
        <v>1889</v>
      </c>
      <c r="E23" s="3">
        <f>'Data Input'!G38</f>
        <v>1401</v>
      </c>
      <c r="F23" s="3">
        <f>'Data Input'!H38</f>
        <v>1436</v>
      </c>
      <c r="G23" s="3">
        <f>'Data Input'!I38</f>
        <v>1305</v>
      </c>
      <c r="H23" s="3">
        <f>'Data Input'!J38</f>
        <v>1445</v>
      </c>
      <c r="I23" s="3">
        <f>'Data Input'!K38</f>
        <v>1696</v>
      </c>
      <c r="J23" s="3">
        <f>'Data Input'!L38</f>
        <v>1757</v>
      </c>
      <c r="K23" s="3">
        <f>'Data Input'!M38</f>
        <v>1413</v>
      </c>
      <c r="L23" s="3">
        <f>'Data Input'!N38</f>
        <v>1281</v>
      </c>
      <c r="M23" s="3">
        <f>'Data Input'!O38</f>
        <v>1312</v>
      </c>
      <c r="N23" s="3">
        <f>'Data Input'!P38</f>
        <v>1383</v>
      </c>
      <c r="O23" s="3">
        <f>'Data Input'!Q38</f>
        <v>1435</v>
      </c>
      <c r="P23" s="121">
        <f>'Data Input'!R38</f>
        <v>1495</v>
      </c>
      <c r="Q23" s="121">
        <f>'Data Input'!S38</f>
        <v>1575</v>
      </c>
      <c r="R23" s="121">
        <f>'Data Input'!T38</f>
        <v>1646</v>
      </c>
      <c r="S23" s="121">
        <f>'Data Input'!U38</f>
        <v>2138</v>
      </c>
      <c r="T23" s="121">
        <f>'Data Input'!V38</f>
        <v>2311</v>
      </c>
      <c r="U23" s="121">
        <f>'Data Input'!W38</f>
        <v>2723</v>
      </c>
      <c r="V23" s="121">
        <f>'Data Input'!X38</f>
        <v>2697.1948571428575</v>
      </c>
      <c r="W23" s="121">
        <f>'Data Input'!Y38</f>
        <v>2823</v>
      </c>
      <c r="X23" s="121">
        <f>'Data Input'!Z38</f>
        <v>2943.7162321428568</v>
      </c>
      <c r="Y23" s="121">
        <f>'Data Input'!AA38</f>
        <v>3081</v>
      </c>
      <c r="Z23" s="121">
        <f>'Data Input'!AB38</f>
        <v>3216</v>
      </c>
      <c r="AA23" s="344">
        <f>'Data Input'!AC38</f>
        <v>3299</v>
      </c>
      <c r="AB23" s="79">
        <f>'Data Input'!AD38</f>
        <v>3427.9046448087429</v>
      </c>
      <c r="AC23" s="79">
        <f>'Data Input'!AE38</f>
        <v>3564.1540016393437</v>
      </c>
      <c r="AD23" s="79">
        <f>'Data Input'!AF38</f>
        <v>3686.6029636939888</v>
      </c>
      <c r="AE23" s="240">
        <f>'Data Input'!AG38</f>
        <v>3813.2952248704369</v>
      </c>
      <c r="AW23" s="178"/>
    </row>
    <row r="24" spans="1:49" s="3" customFormat="1" x14ac:dyDescent="0.2">
      <c r="A24" s="3" t="s">
        <v>79</v>
      </c>
      <c r="B24" s="3" t="s">
        <v>73</v>
      </c>
      <c r="C24" s="3">
        <f>Interest!D24</f>
        <v>2098.63625</v>
      </c>
      <c r="D24" s="3">
        <f>Interest!E24</f>
        <v>2392.1950000000002</v>
      </c>
      <c r="E24" s="3">
        <f>Interest!F24</f>
        <v>2447.6374999999998</v>
      </c>
      <c r="F24" s="3">
        <f>Interest!G24</f>
        <v>2834.125</v>
      </c>
      <c r="G24" s="3">
        <f>Interest!H24</f>
        <v>2826.78</v>
      </c>
      <c r="H24" s="3">
        <f>Interest!I24</f>
        <v>3139.4962500000001</v>
      </c>
      <c r="I24" s="3">
        <f>Interest!J24</f>
        <v>3329.4</v>
      </c>
      <c r="J24" s="3">
        <f>Interest!K24</f>
        <v>3532.7799999999997</v>
      </c>
      <c r="K24" s="3">
        <f>Interest!L24</f>
        <v>3911.3387499999999</v>
      </c>
      <c r="L24" s="3">
        <f>Interest!M24</f>
        <v>4228.63</v>
      </c>
      <c r="M24" s="3">
        <f>Interest!N24</f>
        <v>4752.72</v>
      </c>
      <c r="N24" s="3">
        <f>Interest!O24</f>
        <v>5010.7750000000005</v>
      </c>
      <c r="O24" s="3">
        <f>Interest!P24</f>
        <v>5248.2500000000009</v>
      </c>
      <c r="P24" s="121">
        <f>Interest!Q24</f>
        <v>5473.3350000000009</v>
      </c>
      <c r="Q24" s="121">
        <f>Interest!R24</f>
        <v>5723.795000000001</v>
      </c>
      <c r="R24" s="121">
        <f>Interest!S24</f>
        <v>5913.54</v>
      </c>
      <c r="S24" s="121">
        <f>Interest!T24</f>
        <v>6338.8575000000001</v>
      </c>
      <c r="T24" s="121">
        <f>Interest!U24</f>
        <v>7018.3462500000005</v>
      </c>
      <c r="U24" s="121">
        <f>Interest!V24</f>
        <v>7163.2687500000002</v>
      </c>
      <c r="V24" s="121">
        <f>Interest!W24</f>
        <v>7304.2153264285726</v>
      </c>
      <c r="W24" s="121">
        <f>Interest!X24</f>
        <v>7649.5050000000001</v>
      </c>
      <c r="X24" s="121">
        <f>Interest!Y24</f>
        <v>7741.9029228348218</v>
      </c>
      <c r="Y24" s="121">
        <f>Interest!Z24</f>
        <v>8020.9912500000009</v>
      </c>
      <c r="Z24" s="121">
        <f>Interest!AA24</f>
        <v>8762.9850000000006</v>
      </c>
      <c r="AA24" s="344">
        <f>Interest!AB24</f>
        <v>9227.2375000000011</v>
      </c>
      <c r="AB24" s="79">
        <f>Interest!AC24</f>
        <v>9741.5351526446339</v>
      </c>
      <c r="AC24" s="79">
        <f>Interest!AD24</f>
        <v>10600.854482923534</v>
      </c>
      <c r="AD24" s="79">
        <f>Interest!AE24</f>
        <v>11404.410605716237</v>
      </c>
      <c r="AE24" s="240">
        <f>Interest!AF24</f>
        <v>12175.250474633714</v>
      </c>
      <c r="AW24" s="178"/>
    </row>
    <row r="25" spans="1:49" s="3" customFormat="1" x14ac:dyDescent="0.2">
      <c r="A25" s="3" t="s">
        <v>74</v>
      </c>
      <c r="B25" s="3" t="s">
        <v>49</v>
      </c>
      <c r="C25" s="6">
        <f>'Data Input'!E18</f>
        <v>-829</v>
      </c>
      <c r="D25" s="6">
        <f>'Data Input'!F18</f>
        <v>-921</v>
      </c>
      <c r="E25" s="6">
        <f>'Data Input'!G18</f>
        <v>-1001</v>
      </c>
      <c r="F25" s="6">
        <f>'Data Input'!H18</f>
        <v>-1130</v>
      </c>
      <c r="G25" s="6">
        <f>'Data Input'!I18</f>
        <v>-1261</v>
      </c>
      <c r="H25" s="6">
        <f>'Data Input'!J18</f>
        <v>-1520</v>
      </c>
      <c r="I25" s="6">
        <f>'Data Input'!K18</f>
        <v>-1802</v>
      </c>
      <c r="J25" s="6">
        <f>'Data Input'!L18</f>
        <v>-2103</v>
      </c>
      <c r="K25" s="6">
        <f>'Data Input'!M18</f>
        <v>-2278</v>
      </c>
      <c r="L25" s="6">
        <f>'Data Input'!N18</f>
        <v>-2541</v>
      </c>
      <c r="M25" s="6">
        <f>'Data Input'!O18</f>
        <v>-3080</v>
      </c>
      <c r="N25" s="6">
        <f>'Data Input'!P18</f>
        <v>-3076</v>
      </c>
      <c r="O25" s="6">
        <f>'Data Input'!Q18</f>
        <v>-3199</v>
      </c>
      <c r="P25" s="125">
        <f>'Data Input'!R18</f>
        <v>-3428</v>
      </c>
      <c r="Q25" s="125">
        <f>'Data Input'!S18</f>
        <v>-3620</v>
      </c>
      <c r="R25" s="125">
        <f>'Data Input'!T18</f>
        <v>-3818</v>
      </c>
      <c r="S25" s="125">
        <f>'Data Input'!U18</f>
        <v>-4020</v>
      </c>
      <c r="T25" s="125">
        <f>'Data Input'!V18</f>
        <v>-4194</v>
      </c>
      <c r="U25" s="125">
        <f>'Data Input'!W18</f>
        <v>-4392</v>
      </c>
      <c r="V25" s="125">
        <f>'Data Input'!X18</f>
        <v>-4500</v>
      </c>
      <c r="W25" s="125">
        <f>'Data Input'!Y18</f>
        <v>-4663</v>
      </c>
      <c r="X25" s="125">
        <f>'Data Input'!Z18</f>
        <v>-4924</v>
      </c>
      <c r="Y25" s="125">
        <f>'Data Input'!AA18</f>
        <v>-5150</v>
      </c>
      <c r="Z25" s="125">
        <f>'Data Input'!AB18</f>
        <v>-5306</v>
      </c>
      <c r="AA25" s="345">
        <f>'Data Input'!AC18</f>
        <v>-5536</v>
      </c>
      <c r="AB25" s="81">
        <f>'Data Input'!AD18</f>
        <v>-5694.7797601804714</v>
      </c>
      <c r="AC25" s="81">
        <f>'Data Input'!AE18</f>
        <v>-5948.560317342809</v>
      </c>
      <c r="AD25" s="81">
        <f>'Data Input'!AF18</f>
        <v>-6211.7600792025059</v>
      </c>
      <c r="AE25" s="241">
        <f>'Data Input'!AG18</f>
        <v>-6483.78083515448</v>
      </c>
      <c r="AW25" s="178"/>
    </row>
    <row r="26" spans="1:49" s="8" customFormat="1" x14ac:dyDescent="0.2">
      <c r="A26" s="8" t="s">
        <v>81</v>
      </c>
      <c r="B26" s="8" t="s">
        <v>31</v>
      </c>
      <c r="C26" s="8">
        <f>SUM(C20:C25)</f>
        <v>22923.63625</v>
      </c>
      <c r="D26" s="8">
        <f t="shared" ref="D26:P26" si="6">SUM(D20:D25)</f>
        <v>28057.195</v>
      </c>
      <c r="E26" s="8">
        <f t="shared" si="6"/>
        <v>30620.637500000001</v>
      </c>
      <c r="F26" s="8">
        <f t="shared" si="6"/>
        <v>36067.125</v>
      </c>
      <c r="G26" s="8">
        <f t="shared" si="6"/>
        <v>37042.78</v>
      </c>
      <c r="H26" s="8">
        <f t="shared" si="6"/>
        <v>41077.496249999997</v>
      </c>
      <c r="I26" s="8">
        <f t="shared" si="6"/>
        <v>46175.4</v>
      </c>
      <c r="J26" s="8">
        <f t="shared" si="6"/>
        <v>52019.78</v>
      </c>
      <c r="K26" s="8">
        <f t="shared" si="6"/>
        <v>57375.338750000003</v>
      </c>
      <c r="L26" s="8">
        <f t="shared" si="6"/>
        <v>63963.630000000005</v>
      </c>
      <c r="M26" s="8">
        <f t="shared" si="6"/>
        <v>71723.72</v>
      </c>
      <c r="N26" s="8">
        <f t="shared" si="6"/>
        <v>75702.774999999994</v>
      </c>
      <c r="O26" s="8">
        <f t="shared" si="6"/>
        <v>79287.25</v>
      </c>
      <c r="P26" s="119">
        <f t="shared" si="6"/>
        <v>82654.335000000006</v>
      </c>
      <c r="Q26" s="119">
        <f t="shared" ref="Q26:AC26" si="7">SUM(Q20:Q25)</f>
        <v>86429.794999999998</v>
      </c>
      <c r="R26" s="119">
        <f t="shared" si="7"/>
        <v>92399.54</v>
      </c>
      <c r="S26" s="119">
        <f t="shared" si="7"/>
        <v>99272.857499999998</v>
      </c>
      <c r="T26" s="119">
        <f t="shared" si="7"/>
        <v>110021.34625</v>
      </c>
      <c r="U26" s="119">
        <f t="shared" si="7"/>
        <v>112404.26875</v>
      </c>
      <c r="V26" s="119">
        <f t="shared" si="7"/>
        <v>114555.42839657143</v>
      </c>
      <c r="W26" s="119">
        <f t="shared" si="7"/>
        <v>119996.91949900001</v>
      </c>
      <c r="X26" s="119">
        <f t="shared" si="7"/>
        <v>121406.89827097769</v>
      </c>
      <c r="Y26" s="119">
        <f t="shared" si="7"/>
        <v>125776.72301300001</v>
      </c>
      <c r="Z26" s="119">
        <f t="shared" si="7"/>
        <v>137502.08169999998</v>
      </c>
      <c r="AA26" s="342">
        <f t="shared" si="7"/>
        <v>150029.50299699997</v>
      </c>
      <c r="AB26" s="78">
        <f t="shared" si="7"/>
        <v>164434.6600372729</v>
      </c>
      <c r="AC26" s="78">
        <f t="shared" si="7"/>
        <v>178978.95868643658</v>
      </c>
      <c r="AD26" s="78">
        <f t="shared" ref="AD26:AE26" si="8">SUM(AD20:AD25)</f>
        <v>192569.03737401002</v>
      </c>
      <c r="AE26" s="242">
        <f t="shared" si="8"/>
        <v>205600.65089821935</v>
      </c>
      <c r="AW26" s="179"/>
    </row>
    <row r="27" spans="1:49" s="1" customFormat="1" x14ac:dyDescent="0.2">
      <c r="A27" s="1" t="s">
        <v>82</v>
      </c>
      <c r="B27" s="1" t="s">
        <v>49</v>
      </c>
      <c r="C27" s="6">
        <f>'Data Input'!E28</f>
        <v>24697</v>
      </c>
      <c r="D27" s="6">
        <f>'Data Input'!F28</f>
        <v>27773</v>
      </c>
      <c r="E27" s="6">
        <f>'Data Input'!G28</f>
        <v>33711</v>
      </c>
      <c r="F27" s="6">
        <f>'Data Input'!H28</f>
        <v>34242</v>
      </c>
      <c r="G27" s="6">
        <f>'Data Input'!I28</f>
        <v>38092</v>
      </c>
      <c r="H27" s="6">
        <f>'Data Input'!J28</f>
        <v>43013</v>
      </c>
      <c r="I27" s="6">
        <f>'Data Input'!K28</f>
        <v>48901</v>
      </c>
      <c r="J27" s="6">
        <f>'Data Input'!L28</f>
        <v>54382</v>
      </c>
      <c r="K27" s="6">
        <f>'Data Input'!M28</f>
        <v>61039</v>
      </c>
      <c r="L27" s="6">
        <f>'Data Input'!N28</f>
        <v>68780</v>
      </c>
      <c r="M27" s="6">
        <f>'Data Input'!O28</f>
        <v>72429</v>
      </c>
      <c r="N27" s="6">
        <f>'Data Input'!P28</f>
        <v>75857</v>
      </c>
      <c r="O27" s="6">
        <f>'Data Input'!Q28</f>
        <v>79157</v>
      </c>
      <c r="P27" s="125">
        <f>'Data Input'!R28</f>
        <v>82791</v>
      </c>
      <c r="Q27" s="125">
        <f>'Data Input'!S28</f>
        <v>88694</v>
      </c>
      <c r="R27" s="125">
        <f>'Data Input'!T28</f>
        <v>94850</v>
      </c>
      <c r="S27" s="125">
        <f>'Data Input'!U28</f>
        <v>104917</v>
      </c>
      <c r="T27" s="125">
        <f>'Data Input'!V28</f>
        <v>106957</v>
      </c>
      <c r="U27" s="125">
        <f>'Data Input'!W28</f>
        <v>109112</v>
      </c>
      <c r="V27" s="125">
        <f>'Data Input'!X28</f>
        <v>114246</v>
      </c>
      <c r="W27" s="125">
        <f>'Data Input'!Y28</f>
        <v>115685</v>
      </c>
      <c r="X27" s="125">
        <f>'Data Input'!Z28</f>
        <v>119864</v>
      </c>
      <c r="Y27" s="125">
        <f>'Data Input'!AA28</f>
        <v>130867</v>
      </c>
      <c r="Z27" s="125">
        <f>'Data Input'!AB28</f>
        <v>143076</v>
      </c>
      <c r="AA27" s="345">
        <f>'Data Input'!AC28</f>
        <v>156998</v>
      </c>
      <c r="AB27" s="81">
        <f>'Data Input'!AD28</f>
        <v>170805.87488462828</v>
      </c>
      <c r="AC27" s="81">
        <f>'Data Input'!AE28</f>
        <v>183733.14824921408</v>
      </c>
      <c r="AD27" s="81">
        <f>'Data Input'!AF28</f>
        <v>196139.25039928145</v>
      </c>
      <c r="AE27" s="241">
        <f>'Data Input'!AG28</f>
        <v>207697.4054389525</v>
      </c>
      <c r="AW27" s="186"/>
    </row>
    <row r="28" spans="1:49" s="25" customFormat="1" x14ac:dyDescent="0.2">
      <c r="A28" s="25" t="s">
        <v>83</v>
      </c>
      <c r="B28" s="8" t="s">
        <v>31</v>
      </c>
      <c r="C28" s="26">
        <f>C27-C26</f>
        <v>1773.3637500000004</v>
      </c>
      <c r="D28" s="26">
        <f t="shared" ref="D28:P28" si="9">D27-D26</f>
        <v>-284.19499999999971</v>
      </c>
      <c r="E28" s="26">
        <f t="shared" si="9"/>
        <v>3090.3624999999993</v>
      </c>
      <c r="F28" s="26">
        <f t="shared" si="9"/>
        <v>-1825.125</v>
      </c>
      <c r="G28" s="26">
        <f t="shared" si="9"/>
        <v>1049.2200000000012</v>
      </c>
      <c r="H28" s="26">
        <f t="shared" si="9"/>
        <v>1935.5037500000035</v>
      </c>
      <c r="I28" s="26">
        <f t="shared" si="9"/>
        <v>2725.5999999999985</v>
      </c>
      <c r="J28" s="26">
        <f t="shared" si="9"/>
        <v>2362.2200000000012</v>
      </c>
      <c r="K28" s="26">
        <f t="shared" si="9"/>
        <v>3663.6612499999974</v>
      </c>
      <c r="L28" s="26">
        <f t="shared" si="9"/>
        <v>4816.3699999999953</v>
      </c>
      <c r="M28" s="26">
        <f t="shared" si="9"/>
        <v>705.27999999999884</v>
      </c>
      <c r="N28" s="26">
        <f t="shared" si="9"/>
        <v>154.22500000000582</v>
      </c>
      <c r="O28" s="26">
        <f t="shared" si="9"/>
        <v>-130.25</v>
      </c>
      <c r="P28" s="129">
        <f t="shared" si="9"/>
        <v>136.6649999999936</v>
      </c>
      <c r="Q28" s="129">
        <f t="shared" ref="Q28:AC28" si="10">Q27-Q26</f>
        <v>2264.2050000000017</v>
      </c>
      <c r="R28" s="129">
        <f t="shared" si="10"/>
        <v>2450.4600000000064</v>
      </c>
      <c r="S28" s="129">
        <f>S27-S26</f>
        <v>5644.1425000000017</v>
      </c>
      <c r="T28" s="129">
        <f t="shared" si="10"/>
        <v>-3064.3462500000023</v>
      </c>
      <c r="U28" s="129">
        <f t="shared" si="10"/>
        <v>-3292.2687500000029</v>
      </c>
      <c r="V28" s="129">
        <f t="shared" si="10"/>
        <v>-309.42839657142758</v>
      </c>
      <c r="W28" s="129">
        <f t="shared" si="10"/>
        <v>-4311.9194990000105</v>
      </c>
      <c r="X28" s="129">
        <f t="shared" si="10"/>
        <v>-1542.8982709776901</v>
      </c>
      <c r="Y28" s="129">
        <f t="shared" si="10"/>
        <v>5090.2769869999902</v>
      </c>
      <c r="Z28" s="129">
        <f t="shared" si="10"/>
        <v>5573.9183000000194</v>
      </c>
      <c r="AA28" s="346">
        <f t="shared" si="10"/>
        <v>6968.4970030000259</v>
      </c>
      <c r="AB28" s="83">
        <f t="shared" si="10"/>
        <v>6371.2148473553825</v>
      </c>
      <c r="AC28" s="83">
        <f t="shared" si="10"/>
        <v>4754.1895627774938</v>
      </c>
      <c r="AD28" s="83">
        <f t="shared" ref="AD28:AE28" si="11">AD27-AD26</f>
        <v>3570.2130252714269</v>
      </c>
      <c r="AE28" s="244">
        <f t="shared" si="11"/>
        <v>2096.754540733149</v>
      </c>
      <c r="AW28" s="185"/>
    </row>
    <row r="29" spans="1:49" x14ac:dyDescent="0.2">
      <c r="B29" s="8"/>
    </row>
    <row r="30" spans="1:49" x14ac:dyDescent="0.2">
      <c r="A30" s="28" t="s">
        <v>103</v>
      </c>
      <c r="B30" s="8"/>
    </row>
    <row r="31" spans="1:49" x14ac:dyDescent="0.2">
      <c r="A31" t="s">
        <v>85</v>
      </c>
      <c r="B31" t="s">
        <v>66</v>
      </c>
      <c r="C31" s="22">
        <f>+C17</f>
        <v>-218.93375000000015</v>
      </c>
      <c r="D31" s="22">
        <f t="shared" ref="D31:M31" si="12">+D17</f>
        <v>-411.8125</v>
      </c>
      <c r="E31" s="22">
        <f t="shared" si="12"/>
        <v>-347.26875000000291</v>
      </c>
      <c r="F31" s="22">
        <f t="shared" si="12"/>
        <v>293.91249999999854</v>
      </c>
      <c r="G31" s="22">
        <f t="shared" si="12"/>
        <v>987.1675000000032</v>
      </c>
      <c r="H31" s="22">
        <f t="shared" si="12"/>
        <v>470.17124999999942</v>
      </c>
      <c r="I31" s="22">
        <f t="shared" si="12"/>
        <v>74.888749999998254</v>
      </c>
      <c r="J31" s="22">
        <f t="shared" si="12"/>
        <v>390.92250000000058</v>
      </c>
      <c r="K31" s="22">
        <f t="shared" si="12"/>
        <v>802.62124999999651</v>
      </c>
      <c r="L31" s="22">
        <f t="shared" si="12"/>
        <v>-2501.2149999999965</v>
      </c>
      <c r="M31" s="22">
        <f t="shared" si="12"/>
        <v>-2344</v>
      </c>
      <c r="N31" s="22">
        <f t="shared" ref="N31:T31" si="13">+N17</f>
        <v>126.49499999999534</v>
      </c>
      <c r="O31" s="22">
        <f t="shared" si="13"/>
        <v>-492.91000000000349</v>
      </c>
      <c r="P31" s="106">
        <f t="shared" si="13"/>
        <v>160.11000000000058</v>
      </c>
      <c r="Q31" s="106">
        <f t="shared" si="13"/>
        <v>-2866.6549999999988</v>
      </c>
      <c r="R31" s="106">
        <f t="shared" si="13"/>
        <v>809.08999999999651</v>
      </c>
      <c r="S31" s="106">
        <f t="shared" si="13"/>
        <v>-1588.4912500000064</v>
      </c>
      <c r="T31" s="106">
        <f t="shared" si="13"/>
        <v>291.52125000000524</v>
      </c>
      <c r="U31" s="106">
        <f t="shared" ref="U31:Z31" si="14">+U17</f>
        <v>-473.02749999999651</v>
      </c>
      <c r="V31" s="106">
        <f t="shared" si="14"/>
        <v>1887.6837499999965</v>
      </c>
      <c r="W31" s="106">
        <f t="shared" si="14"/>
        <v>-38.903749999997672</v>
      </c>
      <c r="X31" s="106">
        <f t="shared" si="14"/>
        <v>2546.7275000000081</v>
      </c>
      <c r="Y31" s="106">
        <f t="shared" si="14"/>
        <v>1015.09375</v>
      </c>
      <c r="Z31" s="106">
        <f t="shared" si="14"/>
        <v>666.91624999999476</v>
      </c>
      <c r="AA31" s="348">
        <f>+AA17</f>
        <v>2125.9149999999936</v>
      </c>
      <c r="AB31" s="85">
        <f>+AB17</f>
        <v>7.5254371818591608</v>
      </c>
      <c r="AC31" s="85">
        <f>+AC17</f>
        <v>15.306045838660793</v>
      </c>
      <c r="AD31" s="85">
        <f>+AD17</f>
        <v>21.749226498795906</v>
      </c>
      <c r="AE31" s="246">
        <f>+AE17</f>
        <v>28.981741291325307</v>
      </c>
    </row>
    <row r="32" spans="1:49" x14ac:dyDescent="0.2">
      <c r="A32" t="s">
        <v>86</v>
      </c>
      <c r="B32" t="s">
        <v>66</v>
      </c>
      <c r="C32" s="22">
        <f>C28</f>
        <v>1773.3637500000004</v>
      </c>
      <c r="D32" s="22">
        <f t="shared" ref="D32:M32" si="15">D28</f>
        <v>-284.19499999999971</v>
      </c>
      <c r="E32" s="22">
        <f t="shared" si="15"/>
        <v>3090.3624999999993</v>
      </c>
      <c r="F32" s="22">
        <f t="shared" si="15"/>
        <v>-1825.125</v>
      </c>
      <c r="G32" s="22">
        <f t="shared" si="15"/>
        <v>1049.2200000000012</v>
      </c>
      <c r="H32" s="22">
        <f t="shared" si="15"/>
        <v>1935.5037500000035</v>
      </c>
      <c r="I32" s="22">
        <f t="shared" si="15"/>
        <v>2725.5999999999985</v>
      </c>
      <c r="J32" s="22">
        <f t="shared" si="15"/>
        <v>2362.2200000000012</v>
      </c>
      <c r="K32" s="22">
        <f t="shared" si="15"/>
        <v>3663.6612499999974</v>
      </c>
      <c r="L32" s="22">
        <f t="shared" si="15"/>
        <v>4816.3699999999953</v>
      </c>
      <c r="M32" s="22">
        <f t="shared" si="15"/>
        <v>705.27999999999884</v>
      </c>
      <c r="N32" s="22">
        <f t="shared" ref="N32:T32" si="16">N28</f>
        <v>154.22500000000582</v>
      </c>
      <c r="O32" s="22">
        <f t="shared" si="16"/>
        <v>-130.25</v>
      </c>
      <c r="P32" s="106">
        <f t="shared" si="16"/>
        <v>136.6649999999936</v>
      </c>
      <c r="Q32" s="106">
        <f t="shared" si="16"/>
        <v>2264.2050000000017</v>
      </c>
      <c r="R32" s="106">
        <f t="shared" si="16"/>
        <v>2450.4600000000064</v>
      </c>
      <c r="S32" s="106">
        <f t="shared" si="16"/>
        <v>5644.1425000000017</v>
      </c>
      <c r="T32" s="106">
        <f t="shared" si="16"/>
        <v>-3064.3462500000023</v>
      </c>
      <c r="U32" s="106">
        <f t="shared" ref="U32:Z32" si="17">U28</f>
        <v>-3292.2687500000029</v>
      </c>
      <c r="V32" s="106">
        <f t="shared" si="17"/>
        <v>-309.42839657142758</v>
      </c>
      <c r="W32" s="106">
        <f t="shared" si="17"/>
        <v>-4311.9194990000105</v>
      </c>
      <c r="X32" s="106">
        <f t="shared" si="17"/>
        <v>-1542.8982709776901</v>
      </c>
      <c r="Y32" s="106">
        <f t="shared" si="17"/>
        <v>5090.2769869999902</v>
      </c>
      <c r="Z32" s="106">
        <f t="shared" si="17"/>
        <v>5573.9183000000194</v>
      </c>
      <c r="AA32" s="348">
        <f>AA28</f>
        <v>6968.4970030000259</v>
      </c>
      <c r="AB32" s="85">
        <f>AB28</f>
        <v>6371.2148473553825</v>
      </c>
      <c r="AC32" s="85">
        <f>AC28</f>
        <v>4754.1895627774938</v>
      </c>
      <c r="AD32" s="85">
        <f>AD28</f>
        <v>3570.2130252714269</v>
      </c>
      <c r="AE32" s="246">
        <f>AE28</f>
        <v>2096.754540733149</v>
      </c>
    </row>
    <row r="33" spans="1:49" s="31" customFormat="1" x14ac:dyDescent="0.2">
      <c r="A33" s="31" t="s">
        <v>87</v>
      </c>
      <c r="B33" s="14" t="s">
        <v>31</v>
      </c>
      <c r="C33" s="32">
        <f t="shared" ref="C33:P33" si="18">SUM(C31:C32)</f>
        <v>1554.4300000000003</v>
      </c>
      <c r="D33" s="32">
        <f t="shared" si="18"/>
        <v>-696.00749999999971</v>
      </c>
      <c r="E33" s="32">
        <f t="shared" si="18"/>
        <v>2743.0937499999964</v>
      </c>
      <c r="F33" s="32">
        <f t="shared" si="18"/>
        <v>-1531.2125000000015</v>
      </c>
      <c r="G33" s="32">
        <f t="shared" si="18"/>
        <v>2036.3875000000044</v>
      </c>
      <c r="H33" s="32">
        <f t="shared" si="18"/>
        <v>2405.6750000000029</v>
      </c>
      <c r="I33" s="32">
        <f t="shared" si="18"/>
        <v>2800.4887499999968</v>
      </c>
      <c r="J33" s="32">
        <f t="shared" si="18"/>
        <v>2753.1425000000017</v>
      </c>
      <c r="K33" s="32">
        <f t="shared" si="18"/>
        <v>4466.2824999999939</v>
      </c>
      <c r="L33" s="32">
        <f t="shared" si="18"/>
        <v>2315.1549999999988</v>
      </c>
      <c r="M33" s="32">
        <f t="shared" si="18"/>
        <v>-1638.7200000000012</v>
      </c>
      <c r="N33" s="32">
        <f t="shared" si="18"/>
        <v>280.72000000000116</v>
      </c>
      <c r="O33" s="32">
        <f t="shared" si="18"/>
        <v>-623.16000000000349</v>
      </c>
      <c r="P33" s="133">
        <f t="shared" si="18"/>
        <v>296.77499999999418</v>
      </c>
      <c r="Q33" s="133">
        <f t="shared" ref="Q33:Z33" si="19">SUM(Q31:Q32)</f>
        <v>-602.44999999999709</v>
      </c>
      <c r="R33" s="133">
        <f t="shared" si="19"/>
        <v>3259.5500000000029</v>
      </c>
      <c r="S33" s="133">
        <f t="shared" si="19"/>
        <v>4055.6512499999953</v>
      </c>
      <c r="T33" s="133">
        <f t="shared" si="19"/>
        <v>-2772.8249999999971</v>
      </c>
      <c r="U33" s="133">
        <f t="shared" si="19"/>
        <v>-3765.2962499999994</v>
      </c>
      <c r="V33" s="133">
        <f t="shared" si="19"/>
        <v>1578.2553534285689</v>
      </c>
      <c r="W33" s="133">
        <f t="shared" si="19"/>
        <v>-4350.8232490000082</v>
      </c>
      <c r="X33" s="133">
        <f t="shared" si="19"/>
        <v>1003.829229022318</v>
      </c>
      <c r="Y33" s="133">
        <f t="shared" si="19"/>
        <v>6105.3707369999902</v>
      </c>
      <c r="Z33" s="133">
        <f t="shared" si="19"/>
        <v>6240.8345500000141</v>
      </c>
      <c r="AA33" s="350">
        <f>SUM(AA31:AA32)</f>
        <v>9094.4120030000195</v>
      </c>
      <c r="AB33" s="88">
        <f>SUM(AB31:AB32)</f>
        <v>6378.7402845372417</v>
      </c>
      <c r="AC33" s="88">
        <f>SUM(AC31:AC32)</f>
        <v>4769.4956086161546</v>
      </c>
      <c r="AD33" s="88">
        <f>SUM(AD31:AD32)</f>
        <v>3591.9622517702228</v>
      </c>
      <c r="AE33" s="249">
        <f>SUM(AE31:AE32)</f>
        <v>2125.7362820244743</v>
      </c>
      <c r="AW33" s="187"/>
    </row>
    <row r="34" spans="1:49" x14ac:dyDescent="0.2">
      <c r="A34" t="s">
        <v>89</v>
      </c>
      <c r="B34" s="3" t="s">
        <v>49</v>
      </c>
      <c r="C34" s="11">
        <f>'Data Input'!E40</f>
        <v>14</v>
      </c>
      <c r="D34" s="11">
        <f>'Data Input'!F40</f>
        <v>14</v>
      </c>
      <c r="E34" s="11">
        <f>'Data Input'!G40</f>
        <v>14</v>
      </c>
      <c r="F34" s="11">
        <f>'Data Input'!H40</f>
        <v>14</v>
      </c>
      <c r="G34" s="11">
        <f>'Data Input'!I40</f>
        <v>14</v>
      </c>
      <c r="H34" s="11">
        <f>'Data Input'!J40</f>
        <v>14</v>
      </c>
      <c r="I34" s="11">
        <f>'Data Input'!K40</f>
        <v>13</v>
      </c>
      <c r="J34" s="11">
        <f>'Data Input'!L40</f>
        <v>13</v>
      </c>
      <c r="K34" s="11">
        <f>'Data Input'!M40</f>
        <v>14</v>
      </c>
      <c r="L34" s="11">
        <f>'Data Input'!N40</f>
        <v>14</v>
      </c>
      <c r="M34" s="11">
        <f>'Data Input'!O40</f>
        <v>13</v>
      </c>
      <c r="N34" s="11">
        <f>'Data Input'!P40</f>
        <v>13</v>
      </c>
      <c r="O34" s="11">
        <f>'Data Input'!Q40</f>
        <v>13</v>
      </c>
      <c r="P34" s="134">
        <f>'Data Input'!R40</f>
        <v>13</v>
      </c>
      <c r="Q34" s="134">
        <f>'Data Input'!S40</f>
        <v>13</v>
      </c>
      <c r="R34" s="134">
        <f>'Data Input'!T40</f>
        <v>13.6</v>
      </c>
      <c r="S34" s="134">
        <f>'Data Input'!U40</f>
        <v>13.8</v>
      </c>
      <c r="T34" s="208">
        <f>'Data Input'!V40</f>
        <v>14</v>
      </c>
      <c r="U34" s="134">
        <f>'Data Input'!W40</f>
        <v>14</v>
      </c>
      <c r="V34" s="134">
        <f>'Data Input'!X40</f>
        <v>13.9</v>
      </c>
      <c r="W34" s="134">
        <f>'Data Input'!Y40</f>
        <v>14.1</v>
      </c>
      <c r="X34" s="134">
        <f>'Data Input'!Z40</f>
        <v>14.6</v>
      </c>
      <c r="Y34" s="134">
        <f>'Data Input'!AA40</f>
        <v>14.5</v>
      </c>
      <c r="Z34" s="134">
        <f>'Data Input'!AB40</f>
        <v>14.4</v>
      </c>
      <c r="AA34" s="351">
        <f>'Data Input'!AC40</f>
        <v>15.3</v>
      </c>
      <c r="AB34" s="89">
        <f>'Data Input'!AD40</f>
        <v>15.3</v>
      </c>
      <c r="AC34" s="89">
        <f>'Data Input'!AE40</f>
        <v>15.3</v>
      </c>
      <c r="AD34" s="89">
        <f>'Data Input'!AF40</f>
        <v>15.3</v>
      </c>
      <c r="AE34" s="250">
        <f>'Data Input'!AG40</f>
        <v>15.3</v>
      </c>
    </row>
    <row r="35" spans="1:49" s="25" customFormat="1" x14ac:dyDescent="0.2">
      <c r="A35" s="25" t="s">
        <v>104</v>
      </c>
      <c r="B35" s="8" t="s">
        <v>31</v>
      </c>
      <c r="C35" s="26">
        <f>C33/C34</f>
        <v>111.03071428571431</v>
      </c>
      <c r="D35" s="26">
        <f t="shared" ref="D35:P35" si="20">D33/D34</f>
        <v>-49.714821428571405</v>
      </c>
      <c r="E35" s="26">
        <f t="shared" si="20"/>
        <v>195.93526785714261</v>
      </c>
      <c r="F35" s="26">
        <f t="shared" si="20"/>
        <v>-109.37232142857154</v>
      </c>
      <c r="G35" s="26">
        <f t="shared" si="20"/>
        <v>145.45625000000032</v>
      </c>
      <c r="H35" s="26">
        <f t="shared" si="20"/>
        <v>171.83392857142877</v>
      </c>
      <c r="I35" s="26">
        <f t="shared" si="20"/>
        <v>215.42221153846128</v>
      </c>
      <c r="J35" s="26">
        <f t="shared" si="20"/>
        <v>211.78019230769243</v>
      </c>
      <c r="K35" s="26">
        <f t="shared" si="20"/>
        <v>319.02017857142812</v>
      </c>
      <c r="L35" s="26">
        <f t="shared" si="20"/>
        <v>165.3682142857142</v>
      </c>
      <c r="M35" s="26">
        <f t="shared" si="20"/>
        <v>-126.05538461538471</v>
      </c>
      <c r="N35" s="26">
        <f t="shared" si="20"/>
        <v>21.593846153846243</v>
      </c>
      <c r="O35" s="26">
        <f t="shared" si="20"/>
        <v>-47.935384615384883</v>
      </c>
      <c r="P35" s="129">
        <f t="shared" si="20"/>
        <v>22.828846153845706</v>
      </c>
      <c r="Q35" s="129">
        <f t="shared" ref="Q35:Z35" si="21">Q33/Q34</f>
        <v>-46.342307692307472</v>
      </c>
      <c r="R35" s="129">
        <f t="shared" si="21"/>
        <v>239.67279411764727</v>
      </c>
      <c r="S35" s="129">
        <f t="shared" si="21"/>
        <v>293.88777173913007</v>
      </c>
      <c r="T35" s="129">
        <f t="shared" si="21"/>
        <v>-198.05892857142837</v>
      </c>
      <c r="U35" s="129">
        <f t="shared" si="21"/>
        <v>-268.9497321428571</v>
      </c>
      <c r="V35" s="129">
        <f t="shared" si="21"/>
        <v>113.54355060637187</v>
      </c>
      <c r="W35" s="129">
        <f t="shared" si="21"/>
        <v>-308.56902475177367</v>
      </c>
      <c r="X35" s="129">
        <f t="shared" si="21"/>
        <v>68.755426645364253</v>
      </c>
      <c r="Y35" s="129">
        <f t="shared" si="21"/>
        <v>421.06005082758554</v>
      </c>
      <c r="Z35" s="129">
        <f t="shared" si="21"/>
        <v>433.39128819444539</v>
      </c>
      <c r="AA35" s="346">
        <f>AA33/AA34</f>
        <v>594.40601326797514</v>
      </c>
      <c r="AB35" s="83">
        <f>AB33/AB34</f>
        <v>416.91112970831642</v>
      </c>
      <c r="AC35" s="83">
        <f>AC33/AC34</f>
        <v>311.73173912523885</v>
      </c>
      <c r="AD35" s="83">
        <f>AD33/AD34</f>
        <v>234.76877462550473</v>
      </c>
      <c r="AE35" s="244">
        <f>AE33/AE34</f>
        <v>138.93701189702446</v>
      </c>
      <c r="AW35" s="185"/>
    </row>
    <row r="36" spans="1:49" s="25" customFormat="1" x14ac:dyDescent="0.2">
      <c r="B36" s="8"/>
      <c r="C36" s="39"/>
      <c r="D36" s="39"/>
      <c r="E36" s="39"/>
      <c r="F36" s="39"/>
      <c r="G36" s="39"/>
      <c r="H36" s="39"/>
      <c r="I36" s="39"/>
      <c r="J36" s="39"/>
      <c r="K36" s="39"/>
      <c r="L36" s="39"/>
      <c r="M36" s="39"/>
      <c r="N36" s="39"/>
      <c r="O36" s="39"/>
      <c r="P36" s="135"/>
      <c r="Q36" s="135"/>
      <c r="R36" s="135"/>
      <c r="S36" s="135"/>
      <c r="T36" s="135"/>
      <c r="U36" s="135"/>
      <c r="V36" s="135"/>
      <c r="W36" s="135"/>
      <c r="X36" s="135"/>
      <c r="Y36" s="135"/>
      <c r="Z36" s="496"/>
      <c r="AA36" s="352"/>
      <c r="AB36" s="175"/>
      <c r="AC36" s="175"/>
      <c r="AD36" s="175"/>
      <c r="AE36" s="251"/>
      <c r="AW36" s="185"/>
    </row>
    <row r="37" spans="1:49" s="25" customFormat="1" ht="15" x14ac:dyDescent="0.35">
      <c r="A37" s="40" t="s">
        <v>137</v>
      </c>
      <c r="B37" s="8" t="s">
        <v>31</v>
      </c>
      <c r="C37" s="39">
        <f>SUM($C33:C33)</f>
        <v>1554.4300000000003</v>
      </c>
      <c r="D37" s="39">
        <f>SUM($C33:D33)</f>
        <v>858.42250000000058</v>
      </c>
      <c r="E37" s="39">
        <f>SUM($C33:E33)</f>
        <v>3601.5162499999969</v>
      </c>
      <c r="F37" s="39">
        <f>SUM($C33:F33)</f>
        <v>2070.3037499999955</v>
      </c>
      <c r="G37" s="39">
        <f>SUM($C33:G33)</f>
        <v>4106.6912499999999</v>
      </c>
      <c r="H37" s="39">
        <f>SUM($C33:H33)</f>
        <v>6512.3662500000028</v>
      </c>
      <c r="I37" s="39">
        <f>SUM($C33:I33)</f>
        <v>9312.8549999999996</v>
      </c>
      <c r="J37" s="39">
        <f>SUM($C33:J33)</f>
        <v>12065.997500000001</v>
      </c>
      <c r="K37" s="39">
        <f>SUM($C33:K33)</f>
        <v>16532.279999999995</v>
      </c>
      <c r="L37" s="39">
        <f>SUM($C33:L33)</f>
        <v>18847.434999999994</v>
      </c>
      <c r="M37" s="39">
        <f>SUM($C33:M33)</f>
        <v>17208.714999999993</v>
      </c>
      <c r="N37" s="39">
        <f>SUM($C33:N33)</f>
        <v>17489.434999999994</v>
      </c>
      <c r="O37" s="39">
        <f>SUM($C33:O33)</f>
        <v>16866.274999999991</v>
      </c>
      <c r="P37" s="135">
        <f>SUM($C33:P33)</f>
        <v>17163.049999999985</v>
      </c>
      <c r="Q37" s="135">
        <f>SUM($C33:Q33)</f>
        <v>16560.599999999988</v>
      </c>
      <c r="R37" s="135">
        <f>SUM($C33:R33)</f>
        <v>19820.149999999991</v>
      </c>
      <c r="S37" s="135">
        <f>SUM($C33:S33)</f>
        <v>23875.801249999986</v>
      </c>
      <c r="T37" s="135">
        <f>SUM($C33:T33)</f>
        <v>21102.976249999989</v>
      </c>
      <c r="U37" s="135">
        <f>SUM($C33:U33)</f>
        <v>17337.679999999989</v>
      </c>
      <c r="V37" s="135">
        <f>SUM($C33:V33)</f>
        <v>18915.935353428558</v>
      </c>
      <c r="W37" s="135">
        <f>SUM($C33:W33)</f>
        <v>14565.11210442855</v>
      </c>
      <c r="X37" s="135">
        <f>SUM($C33:X33)</f>
        <v>15568.941333450868</v>
      </c>
      <c r="Y37" s="135">
        <f>SUM($C33:Y33)</f>
        <v>21674.312070450858</v>
      </c>
      <c r="Z37" s="135">
        <f>SUM($C33:Z33)</f>
        <v>27915.146620450872</v>
      </c>
      <c r="AA37" s="353">
        <f>SUM($C33:AA33)</f>
        <v>37009.558623450896</v>
      </c>
      <c r="AB37" s="90">
        <f>SUM($C33:AB33)</f>
        <v>43388.298907988137</v>
      </c>
      <c r="AC37" s="90">
        <f>SUM($C33:AC33)</f>
        <v>48157.794516604292</v>
      </c>
      <c r="AD37" s="90">
        <f>SUM($C33:AD33)</f>
        <v>51749.756768374515</v>
      </c>
      <c r="AE37" s="252">
        <f>SUM($C33:AE33)</f>
        <v>53875.493050398989</v>
      </c>
      <c r="AW37" s="185"/>
    </row>
    <row r="38" spans="1:49" x14ac:dyDescent="0.2">
      <c r="A38" t="s">
        <v>88</v>
      </c>
    </row>
    <row r="39" spans="1:49" x14ac:dyDescent="0.2">
      <c r="A39" s="28" t="s">
        <v>138</v>
      </c>
    </row>
    <row r="40" spans="1:49" x14ac:dyDescent="0.2">
      <c r="A40" t="s">
        <v>91</v>
      </c>
      <c r="B40" t="s">
        <v>66</v>
      </c>
      <c r="C40" s="22">
        <f>ROUND(+$C35,0)</f>
        <v>111</v>
      </c>
      <c r="D40" s="22">
        <f t="shared" ref="D40:P40" si="22">ROUND(+$C35,0)</f>
        <v>111</v>
      </c>
      <c r="E40" s="22">
        <f t="shared" si="22"/>
        <v>111</v>
      </c>
      <c r="F40" s="22">
        <f t="shared" si="22"/>
        <v>111</v>
      </c>
      <c r="G40" s="22">
        <f t="shared" si="22"/>
        <v>111</v>
      </c>
      <c r="H40" s="22">
        <f t="shared" si="22"/>
        <v>111</v>
      </c>
      <c r="I40" s="22">
        <f t="shared" si="22"/>
        <v>111</v>
      </c>
      <c r="J40" s="22">
        <f t="shared" si="22"/>
        <v>111</v>
      </c>
      <c r="K40" s="22">
        <f t="shared" si="22"/>
        <v>111</v>
      </c>
      <c r="L40" s="22">
        <f t="shared" si="22"/>
        <v>111</v>
      </c>
      <c r="M40" s="22">
        <f t="shared" si="22"/>
        <v>111</v>
      </c>
      <c r="N40" s="22">
        <f t="shared" si="22"/>
        <v>111</v>
      </c>
      <c r="O40" s="22">
        <f t="shared" si="22"/>
        <v>111</v>
      </c>
      <c r="P40" s="106">
        <f t="shared" si="22"/>
        <v>111</v>
      </c>
      <c r="AN40" s="22"/>
      <c r="AO40" s="22"/>
      <c r="AP40" s="22"/>
      <c r="AQ40" s="22"/>
      <c r="AR40" s="22"/>
      <c r="AS40" s="22"/>
      <c r="AT40" s="22"/>
      <c r="AU40" s="22"/>
      <c r="AV40" s="22">
        <f>SUM(C40:AN40)</f>
        <v>1554</v>
      </c>
      <c r="AW40" s="188">
        <f>ROUND(C$33,0)-ROUND($AV40,0)</f>
        <v>0</v>
      </c>
    </row>
    <row r="41" spans="1:49" x14ac:dyDescent="0.2">
      <c r="A41" t="s">
        <v>92</v>
      </c>
      <c r="B41" t="s">
        <v>66</v>
      </c>
      <c r="D41" s="22">
        <f>ROUND(+$D35,0)</f>
        <v>-50</v>
      </c>
      <c r="E41" s="22">
        <f t="shared" ref="E41:M41" si="23">ROUND(+$D35,0)</f>
        <v>-50</v>
      </c>
      <c r="F41" s="22">
        <f t="shared" si="23"/>
        <v>-50</v>
      </c>
      <c r="G41" s="22">
        <f t="shared" si="23"/>
        <v>-50</v>
      </c>
      <c r="H41" s="22">
        <f t="shared" si="23"/>
        <v>-50</v>
      </c>
      <c r="I41" s="22">
        <f t="shared" si="23"/>
        <v>-50</v>
      </c>
      <c r="J41" s="22">
        <f t="shared" si="23"/>
        <v>-50</v>
      </c>
      <c r="K41" s="22">
        <f t="shared" si="23"/>
        <v>-50</v>
      </c>
      <c r="L41" s="22">
        <f t="shared" si="23"/>
        <v>-50</v>
      </c>
      <c r="M41" s="22">
        <f t="shared" si="23"/>
        <v>-50</v>
      </c>
      <c r="N41" s="22">
        <f>ROUND(+$D35,0)+1</f>
        <v>-49</v>
      </c>
      <c r="O41" s="22">
        <f>ROUND(+$D35,0)+1</f>
        <v>-49</v>
      </c>
      <c r="P41" s="106">
        <f>ROUND(+$D35,0)+1</f>
        <v>-49</v>
      </c>
      <c r="Q41" s="106">
        <f>ROUND(+$D35,0)+1</f>
        <v>-49</v>
      </c>
      <c r="AN41" s="22"/>
      <c r="AO41" s="22"/>
      <c r="AP41" s="22"/>
      <c r="AQ41" s="22"/>
      <c r="AR41" s="22"/>
      <c r="AS41" s="22"/>
      <c r="AT41" s="22"/>
      <c r="AU41" s="22"/>
      <c r="AV41" s="22">
        <f t="shared" ref="AV41:AV58" si="24">SUM(C41:AN41)</f>
        <v>-696</v>
      </c>
      <c r="AW41" s="188">
        <f>ROUND(D$33,0)-ROUND($AV41,0)</f>
        <v>0</v>
      </c>
    </row>
    <row r="42" spans="1:49" x14ac:dyDescent="0.2">
      <c r="A42" t="s">
        <v>93</v>
      </c>
      <c r="B42" t="s">
        <v>66</v>
      </c>
      <c r="E42" s="22">
        <f>ROUND(+$E35,0)</f>
        <v>196</v>
      </c>
      <c r="F42" s="22">
        <f t="shared" ref="F42:Q42" si="25">ROUND(+$E35,0)</f>
        <v>196</v>
      </c>
      <c r="G42" s="22">
        <f t="shared" si="25"/>
        <v>196</v>
      </c>
      <c r="H42" s="22">
        <f t="shared" si="25"/>
        <v>196</v>
      </c>
      <c r="I42" s="22">
        <f t="shared" si="25"/>
        <v>196</v>
      </c>
      <c r="J42" s="22">
        <f t="shared" si="25"/>
        <v>196</v>
      </c>
      <c r="K42" s="22">
        <f t="shared" si="25"/>
        <v>196</v>
      </c>
      <c r="L42" s="22">
        <f t="shared" si="25"/>
        <v>196</v>
      </c>
      <c r="M42" s="22">
        <f t="shared" si="25"/>
        <v>196</v>
      </c>
      <c r="N42" s="22">
        <f t="shared" si="25"/>
        <v>196</v>
      </c>
      <c r="O42" s="22">
        <f t="shared" si="25"/>
        <v>196</v>
      </c>
      <c r="P42" s="106">
        <f t="shared" si="25"/>
        <v>196</v>
      </c>
      <c r="Q42" s="106">
        <f t="shared" si="25"/>
        <v>196</v>
      </c>
      <c r="R42" s="106">
        <f>ROUND(+$E35,0)-1</f>
        <v>195</v>
      </c>
      <c r="AN42" s="22"/>
      <c r="AO42" s="22"/>
      <c r="AP42" s="22"/>
      <c r="AQ42" s="22"/>
      <c r="AR42" s="22"/>
      <c r="AS42" s="22"/>
      <c r="AT42" s="22"/>
      <c r="AU42" s="22"/>
      <c r="AV42" s="22">
        <f t="shared" si="24"/>
        <v>2743</v>
      </c>
      <c r="AW42" s="188">
        <f>ROUND(E$33,0)-ROUND($AV42,0)</f>
        <v>0</v>
      </c>
    </row>
    <row r="43" spans="1:49" x14ac:dyDescent="0.2">
      <c r="A43" t="s">
        <v>94</v>
      </c>
      <c r="B43" t="s">
        <v>66</v>
      </c>
      <c r="F43" s="22">
        <f>ROUND(+$F35,0)</f>
        <v>-109</v>
      </c>
      <c r="G43" s="22">
        <f t="shared" ref="G43:N43" si="26">ROUND(+$F35,0)</f>
        <v>-109</v>
      </c>
      <c r="H43" s="22">
        <f t="shared" si="26"/>
        <v>-109</v>
      </c>
      <c r="I43" s="22">
        <f t="shared" si="26"/>
        <v>-109</v>
      </c>
      <c r="J43" s="22">
        <f t="shared" si="26"/>
        <v>-109</v>
      </c>
      <c r="K43" s="22">
        <f t="shared" si="26"/>
        <v>-109</v>
      </c>
      <c r="L43" s="22">
        <f t="shared" si="26"/>
        <v>-109</v>
      </c>
      <c r="M43" s="22">
        <f t="shared" si="26"/>
        <v>-109</v>
      </c>
      <c r="N43" s="22">
        <f t="shared" si="26"/>
        <v>-109</v>
      </c>
      <c r="O43" s="22">
        <f>ROUND(+$F35,0)-1</f>
        <v>-110</v>
      </c>
      <c r="P43" s="106">
        <f>ROUND(+$F35,0)-1</f>
        <v>-110</v>
      </c>
      <c r="Q43" s="106">
        <f>ROUND(+$F35,0)-1</f>
        <v>-110</v>
      </c>
      <c r="R43" s="106">
        <f>ROUND(+$F35,0)-1</f>
        <v>-110</v>
      </c>
      <c r="S43" s="106">
        <f>ROUND(+$F35,0)-1</f>
        <v>-110</v>
      </c>
      <c r="AN43" s="22"/>
      <c r="AO43" s="22"/>
      <c r="AP43" s="22"/>
      <c r="AQ43" s="22"/>
      <c r="AR43" s="22"/>
      <c r="AS43" s="22"/>
      <c r="AT43" s="22"/>
      <c r="AU43" s="22"/>
      <c r="AV43" s="22">
        <f t="shared" si="24"/>
        <v>-1531</v>
      </c>
      <c r="AW43" s="188">
        <f>ROUND(F$33,0)-ROUND($AV43,0)</f>
        <v>0</v>
      </c>
    </row>
    <row r="44" spans="1:49" x14ac:dyDescent="0.2">
      <c r="A44" t="s">
        <v>95</v>
      </c>
      <c r="B44" t="s">
        <v>66</v>
      </c>
      <c r="G44" s="22">
        <f>ROUND(+$G35,0)</f>
        <v>145</v>
      </c>
      <c r="H44" s="22">
        <f t="shared" ref="H44:N44" si="27">ROUND(+$G35,0)</f>
        <v>145</v>
      </c>
      <c r="I44" s="22">
        <f t="shared" si="27"/>
        <v>145</v>
      </c>
      <c r="J44" s="22">
        <f t="shared" si="27"/>
        <v>145</v>
      </c>
      <c r="K44" s="22">
        <f t="shared" si="27"/>
        <v>145</v>
      </c>
      <c r="L44" s="22">
        <f t="shared" si="27"/>
        <v>145</v>
      </c>
      <c r="M44" s="22">
        <f t="shared" si="27"/>
        <v>145</v>
      </c>
      <c r="N44" s="22">
        <f t="shared" si="27"/>
        <v>145</v>
      </c>
      <c r="O44" s="22">
        <f t="shared" ref="O44:T44" si="28">ROUND(+$G35,0)+1</f>
        <v>146</v>
      </c>
      <c r="P44" s="106">
        <f t="shared" si="28"/>
        <v>146</v>
      </c>
      <c r="Q44" s="106">
        <f t="shared" si="28"/>
        <v>146</v>
      </c>
      <c r="R44" s="106">
        <f t="shared" si="28"/>
        <v>146</v>
      </c>
      <c r="S44" s="106">
        <f t="shared" si="28"/>
        <v>146</v>
      </c>
      <c r="T44" s="106">
        <f t="shared" si="28"/>
        <v>146</v>
      </c>
      <c r="AN44" s="22"/>
      <c r="AO44" s="22"/>
      <c r="AP44" s="22"/>
      <c r="AQ44" s="22"/>
      <c r="AR44" s="22"/>
      <c r="AS44" s="22"/>
      <c r="AT44" s="22"/>
      <c r="AU44" s="22"/>
      <c r="AV44" s="22">
        <f t="shared" si="24"/>
        <v>2036</v>
      </c>
      <c r="AW44" s="188">
        <f>ROUND(G$33,0)-ROUND($AV44,0)</f>
        <v>0</v>
      </c>
    </row>
    <row r="45" spans="1:49" x14ac:dyDescent="0.2">
      <c r="A45" t="s">
        <v>96</v>
      </c>
      <c r="B45" t="s">
        <v>66</v>
      </c>
      <c r="H45" s="22">
        <f>ROUND(+$H35,0)</f>
        <v>172</v>
      </c>
      <c r="I45" s="22">
        <f t="shared" ref="I45:S45" si="29">ROUND(+$H35,0)</f>
        <v>172</v>
      </c>
      <c r="J45" s="22">
        <f t="shared" si="29"/>
        <v>172</v>
      </c>
      <c r="K45" s="22">
        <f t="shared" si="29"/>
        <v>172</v>
      </c>
      <c r="L45" s="22">
        <f t="shared" si="29"/>
        <v>172</v>
      </c>
      <c r="M45" s="22">
        <f t="shared" si="29"/>
        <v>172</v>
      </c>
      <c r="N45" s="22">
        <f t="shared" si="29"/>
        <v>172</v>
      </c>
      <c r="O45" s="22">
        <f t="shared" si="29"/>
        <v>172</v>
      </c>
      <c r="P45" s="106">
        <f t="shared" si="29"/>
        <v>172</v>
      </c>
      <c r="Q45" s="106">
        <f t="shared" si="29"/>
        <v>172</v>
      </c>
      <c r="R45" s="106">
        <f t="shared" si="29"/>
        <v>172</v>
      </c>
      <c r="S45" s="106">
        <f t="shared" si="29"/>
        <v>172</v>
      </c>
      <c r="T45" s="106">
        <f>ROUND(+$H35,0)-1</f>
        <v>171</v>
      </c>
      <c r="U45" s="106">
        <f>ROUND(+$H35,0)-1</f>
        <v>171</v>
      </c>
      <c r="AN45" s="22"/>
      <c r="AO45" s="22"/>
      <c r="AP45" s="22"/>
      <c r="AQ45" s="22"/>
      <c r="AR45" s="22"/>
      <c r="AS45" s="22"/>
      <c r="AT45" s="22"/>
      <c r="AU45" s="22"/>
      <c r="AV45" s="22">
        <f t="shared" si="24"/>
        <v>2406</v>
      </c>
      <c r="AW45" s="188">
        <f>ROUND(H$33,0)-ROUND($AV45,0)</f>
        <v>0</v>
      </c>
    </row>
    <row r="46" spans="1:49" x14ac:dyDescent="0.2">
      <c r="A46" t="s">
        <v>97</v>
      </c>
      <c r="B46" t="s">
        <v>66</v>
      </c>
      <c r="I46" s="22">
        <f>ROUND(+$I35,0)</f>
        <v>215</v>
      </c>
      <c r="J46" s="22">
        <f t="shared" ref="J46:O46" si="30">ROUND(+$I35,0)</f>
        <v>215</v>
      </c>
      <c r="K46" s="22">
        <f t="shared" si="30"/>
        <v>215</v>
      </c>
      <c r="L46" s="22">
        <f t="shared" si="30"/>
        <v>215</v>
      </c>
      <c r="M46" s="22">
        <f t="shared" si="30"/>
        <v>215</v>
      </c>
      <c r="N46" s="22">
        <f t="shared" si="30"/>
        <v>215</v>
      </c>
      <c r="O46" s="22">
        <f t="shared" si="30"/>
        <v>215</v>
      </c>
      <c r="P46" s="106">
        <f>ROUND(+$I35,0)</f>
        <v>215</v>
      </c>
      <c r="Q46" s="106">
        <f>ROUND(+$I35,0)+1</f>
        <v>216</v>
      </c>
      <c r="R46" s="106">
        <f>ROUND(+$I35,0)+1</f>
        <v>216</v>
      </c>
      <c r="S46" s="106">
        <f>ROUND(+$I35,0)+1</f>
        <v>216</v>
      </c>
      <c r="T46" s="106">
        <f>ROUND(+$I35,0)+1</f>
        <v>216</v>
      </c>
      <c r="U46" s="106">
        <f>ROUND(+$I35,0)+1</f>
        <v>216</v>
      </c>
      <c r="AN46" s="22"/>
      <c r="AO46" s="22"/>
      <c r="AP46" s="22"/>
      <c r="AQ46" s="22"/>
      <c r="AR46" s="22"/>
      <c r="AS46" s="22"/>
      <c r="AT46" s="22"/>
      <c r="AU46" s="22"/>
      <c r="AV46" s="22">
        <f t="shared" si="24"/>
        <v>2800</v>
      </c>
      <c r="AW46" s="188">
        <f>ROUND(I$33,0)-ROUND($AV46,0)</f>
        <v>0</v>
      </c>
    </row>
    <row r="47" spans="1:49" x14ac:dyDescent="0.2">
      <c r="A47" t="s">
        <v>98</v>
      </c>
      <c r="B47" t="s">
        <v>66</v>
      </c>
      <c r="J47" s="22">
        <f>ROUND(+$J35,0)</f>
        <v>212</v>
      </c>
      <c r="K47" s="22">
        <f t="shared" ref="K47:S47" si="31">ROUND(+$J35,0)</f>
        <v>212</v>
      </c>
      <c r="L47" s="22">
        <f t="shared" si="31"/>
        <v>212</v>
      </c>
      <c r="M47" s="22">
        <f t="shared" si="31"/>
        <v>212</v>
      </c>
      <c r="N47" s="22">
        <f t="shared" si="31"/>
        <v>212</v>
      </c>
      <c r="O47" s="22">
        <f t="shared" si="31"/>
        <v>212</v>
      </c>
      <c r="P47" s="106">
        <f t="shared" si="31"/>
        <v>212</v>
      </c>
      <c r="Q47" s="106">
        <f t="shared" si="31"/>
        <v>212</v>
      </c>
      <c r="R47" s="106">
        <f t="shared" si="31"/>
        <v>212</v>
      </c>
      <c r="S47" s="106">
        <f t="shared" si="31"/>
        <v>212</v>
      </c>
      <c r="T47" s="106">
        <f>ROUND(+$J35,0)-1</f>
        <v>211</v>
      </c>
      <c r="U47" s="106">
        <f>ROUND(+$J35,0)-1</f>
        <v>211</v>
      </c>
      <c r="V47" s="106">
        <f>ROUND(+$J35,0)-1</f>
        <v>211</v>
      </c>
      <c r="AN47" s="22"/>
      <c r="AO47" s="22"/>
      <c r="AP47" s="22"/>
      <c r="AQ47" s="22"/>
      <c r="AR47" s="22"/>
      <c r="AS47" s="22"/>
      <c r="AT47" s="22"/>
      <c r="AU47" s="22"/>
      <c r="AV47" s="22">
        <f t="shared" si="24"/>
        <v>2753</v>
      </c>
      <c r="AW47" s="188">
        <f>ROUND(J$33,0)-ROUND($AV47,0)</f>
        <v>0</v>
      </c>
    </row>
    <row r="48" spans="1:49" x14ac:dyDescent="0.2">
      <c r="A48" t="s">
        <v>99</v>
      </c>
      <c r="B48" t="s">
        <v>66</v>
      </c>
      <c r="K48" s="22">
        <f>ROUND(+$K35,0)</f>
        <v>319</v>
      </c>
      <c r="L48" s="22">
        <f t="shared" ref="L48:W48" si="32">ROUND(+$K35,0)</f>
        <v>319</v>
      </c>
      <c r="M48" s="22">
        <f t="shared" si="32"/>
        <v>319</v>
      </c>
      <c r="N48" s="22">
        <f t="shared" si="32"/>
        <v>319</v>
      </c>
      <c r="O48" s="22">
        <f t="shared" si="32"/>
        <v>319</v>
      </c>
      <c r="P48" s="106">
        <f t="shared" si="32"/>
        <v>319</v>
      </c>
      <c r="Q48" s="106">
        <f t="shared" si="32"/>
        <v>319</v>
      </c>
      <c r="R48" s="106">
        <f t="shared" si="32"/>
        <v>319</v>
      </c>
      <c r="S48" s="106">
        <f t="shared" si="32"/>
        <v>319</v>
      </c>
      <c r="T48" s="106">
        <f t="shared" si="32"/>
        <v>319</v>
      </c>
      <c r="U48" s="106">
        <f t="shared" si="32"/>
        <v>319</v>
      </c>
      <c r="V48" s="106">
        <f t="shared" si="32"/>
        <v>319</v>
      </c>
      <c r="W48" s="106">
        <f t="shared" si="32"/>
        <v>319</v>
      </c>
      <c r="X48" s="106">
        <f>ROUND(+$K35,0)</f>
        <v>319</v>
      </c>
      <c r="Y48" s="106"/>
      <c r="AN48" s="22"/>
      <c r="AO48" s="22"/>
      <c r="AP48" s="22"/>
      <c r="AQ48" s="22"/>
      <c r="AR48" s="22"/>
      <c r="AS48" s="22"/>
      <c r="AT48" s="22"/>
      <c r="AU48" s="22"/>
      <c r="AV48" s="22">
        <f t="shared" si="24"/>
        <v>4466</v>
      </c>
      <c r="AW48" s="188">
        <f>ROUND(K$33,0)-ROUND($AV48,0)</f>
        <v>0</v>
      </c>
    </row>
    <row r="49" spans="1:49" x14ac:dyDescent="0.2">
      <c r="A49" t="s">
        <v>100</v>
      </c>
      <c r="B49" t="s">
        <v>66</v>
      </c>
      <c r="L49" s="22">
        <f>ROUND(+$L35,0)</f>
        <v>165</v>
      </c>
      <c r="M49" s="22">
        <f t="shared" ref="M49:T49" si="33">ROUND(+$L35,0)</f>
        <v>165</v>
      </c>
      <c r="N49" s="22">
        <f t="shared" si="33"/>
        <v>165</v>
      </c>
      <c r="O49" s="22">
        <f t="shared" si="33"/>
        <v>165</v>
      </c>
      <c r="P49" s="106">
        <f t="shared" si="33"/>
        <v>165</v>
      </c>
      <c r="Q49" s="106">
        <f t="shared" si="33"/>
        <v>165</v>
      </c>
      <c r="R49" s="106">
        <f t="shared" si="33"/>
        <v>165</v>
      </c>
      <c r="S49" s="106">
        <f t="shared" si="33"/>
        <v>165</v>
      </c>
      <c r="T49" s="106">
        <f t="shared" si="33"/>
        <v>165</v>
      </c>
      <c r="U49" s="106">
        <f>ROUND(+$L35,0)+1</f>
        <v>166</v>
      </c>
      <c r="V49" s="106">
        <f>ROUND(+$L35,0)+1</f>
        <v>166</v>
      </c>
      <c r="W49" s="106">
        <f>ROUND(+$L35,0)+1</f>
        <v>166</v>
      </c>
      <c r="X49" s="106">
        <f>ROUND(+$L35,0)+1</f>
        <v>166</v>
      </c>
      <c r="Y49" s="106">
        <f>ROUND(+$L35,0)+1</f>
        <v>166</v>
      </c>
      <c r="AN49" s="22"/>
      <c r="AO49" s="22"/>
      <c r="AP49" s="22"/>
      <c r="AQ49" s="22"/>
      <c r="AR49" s="22"/>
      <c r="AS49" s="22"/>
      <c r="AT49" s="22"/>
      <c r="AU49" s="22"/>
      <c r="AV49" s="22">
        <f t="shared" si="24"/>
        <v>2315</v>
      </c>
      <c r="AW49" s="188">
        <f>ROUND(L$33,0)-ROUND($AV49,0)</f>
        <v>0</v>
      </c>
    </row>
    <row r="50" spans="1:49" x14ac:dyDescent="0.2">
      <c r="A50" t="s">
        <v>101</v>
      </c>
      <c r="B50" t="s">
        <v>66</v>
      </c>
      <c r="M50" s="22">
        <f>ROUND(+$M35,0)</f>
        <v>-126</v>
      </c>
      <c r="N50" s="22">
        <f t="shared" ref="N50:X50" si="34">ROUND(+$M35,0)</f>
        <v>-126</v>
      </c>
      <c r="O50" s="22">
        <f t="shared" si="34"/>
        <v>-126</v>
      </c>
      <c r="P50" s="106">
        <f t="shared" si="34"/>
        <v>-126</v>
      </c>
      <c r="Q50" s="106">
        <f t="shared" si="34"/>
        <v>-126</v>
      </c>
      <c r="R50" s="106">
        <f t="shared" si="34"/>
        <v>-126</v>
      </c>
      <c r="S50" s="106">
        <f t="shared" si="34"/>
        <v>-126</v>
      </c>
      <c r="T50" s="106">
        <f t="shared" si="34"/>
        <v>-126</v>
      </c>
      <c r="U50" s="106">
        <f t="shared" si="34"/>
        <v>-126</v>
      </c>
      <c r="V50" s="106">
        <f t="shared" si="34"/>
        <v>-126</v>
      </c>
      <c r="W50" s="106">
        <f t="shared" si="34"/>
        <v>-126</v>
      </c>
      <c r="X50" s="106">
        <f t="shared" si="34"/>
        <v>-126</v>
      </c>
      <c r="Y50" s="106">
        <f>ROUND(+$M35,0)-1</f>
        <v>-127</v>
      </c>
      <c r="AN50" s="22"/>
      <c r="AO50" s="22"/>
      <c r="AP50" s="22"/>
      <c r="AQ50" s="22"/>
      <c r="AR50" s="22"/>
      <c r="AS50" s="22"/>
      <c r="AT50" s="22"/>
      <c r="AU50" s="22"/>
      <c r="AV50" s="22">
        <f t="shared" si="24"/>
        <v>-1639</v>
      </c>
      <c r="AW50" s="188">
        <f>ROUND(M$33,0)-ROUND($AV50,0)</f>
        <v>0</v>
      </c>
    </row>
    <row r="51" spans="1:49" x14ac:dyDescent="0.2">
      <c r="A51" t="s">
        <v>102</v>
      </c>
      <c r="B51" t="s">
        <v>66</v>
      </c>
      <c r="N51" s="22">
        <f>ROUND(+$N35,0)</f>
        <v>22</v>
      </c>
      <c r="O51" s="22">
        <f t="shared" ref="O51:U51" si="35">ROUND(+$N35,0)</f>
        <v>22</v>
      </c>
      <c r="P51" s="106">
        <f t="shared" si="35"/>
        <v>22</v>
      </c>
      <c r="Q51" s="106">
        <f t="shared" si="35"/>
        <v>22</v>
      </c>
      <c r="R51" s="106">
        <f t="shared" si="35"/>
        <v>22</v>
      </c>
      <c r="S51" s="106">
        <f t="shared" si="35"/>
        <v>22</v>
      </c>
      <c r="T51" s="106">
        <f t="shared" si="35"/>
        <v>22</v>
      </c>
      <c r="U51" s="106">
        <f t="shared" si="35"/>
        <v>22</v>
      </c>
      <c r="V51" s="106">
        <f>ROUND(+$N35,0)-1</f>
        <v>21</v>
      </c>
      <c r="W51" s="106">
        <f>ROUND(+$N35,0)-1</f>
        <v>21</v>
      </c>
      <c r="X51" s="106">
        <f>ROUND(+$N35,0)-1</f>
        <v>21</v>
      </c>
      <c r="Y51" s="106">
        <f>ROUND(+$N35,0)-1</f>
        <v>21</v>
      </c>
      <c r="Z51" s="106">
        <f>ROUND(+$N35,0)-1</f>
        <v>21</v>
      </c>
      <c r="AA51" s="348"/>
      <c r="AB51" s="85"/>
      <c r="AC51" s="85"/>
      <c r="AD51" s="85"/>
      <c r="AE51" s="246"/>
      <c r="AF51" s="22"/>
      <c r="AG51" s="22"/>
      <c r="AH51" s="22"/>
      <c r="AI51" s="22"/>
      <c r="AJ51" s="22"/>
      <c r="AK51" s="22"/>
      <c r="AL51" s="22"/>
      <c r="AM51" s="22"/>
      <c r="AN51" s="22"/>
      <c r="AO51" s="22"/>
      <c r="AP51" s="22"/>
      <c r="AQ51" s="22"/>
      <c r="AR51" s="22"/>
      <c r="AS51" s="22"/>
      <c r="AT51" s="22"/>
      <c r="AU51" s="22"/>
      <c r="AV51" s="22">
        <f t="shared" si="24"/>
        <v>281</v>
      </c>
      <c r="AW51" s="188">
        <f>ROUND(N$33,0)-ROUND($AV51,0)</f>
        <v>0</v>
      </c>
    </row>
    <row r="52" spans="1:49" x14ac:dyDescent="0.2">
      <c r="A52" t="s">
        <v>308</v>
      </c>
      <c r="B52" t="s">
        <v>66</v>
      </c>
      <c r="N52" s="22"/>
      <c r="O52" s="22">
        <f>ROUND(+$O35,0)</f>
        <v>-48</v>
      </c>
      <c r="P52" s="106">
        <f t="shared" ref="P52:Z52" si="36">ROUND(+$O35,0)</f>
        <v>-48</v>
      </c>
      <c r="Q52" s="106">
        <f t="shared" si="36"/>
        <v>-48</v>
      </c>
      <c r="R52" s="106">
        <f t="shared" si="36"/>
        <v>-48</v>
      </c>
      <c r="S52" s="106">
        <f t="shared" si="36"/>
        <v>-48</v>
      </c>
      <c r="T52" s="106">
        <f t="shared" si="36"/>
        <v>-48</v>
      </c>
      <c r="U52" s="106">
        <f t="shared" si="36"/>
        <v>-48</v>
      </c>
      <c r="V52" s="106">
        <f t="shared" si="36"/>
        <v>-48</v>
      </c>
      <c r="W52" s="106">
        <f t="shared" si="36"/>
        <v>-48</v>
      </c>
      <c r="X52" s="106">
        <f t="shared" si="36"/>
        <v>-48</v>
      </c>
      <c r="Y52" s="106">
        <f t="shared" si="36"/>
        <v>-48</v>
      </c>
      <c r="Z52" s="106">
        <f t="shared" si="36"/>
        <v>-48</v>
      </c>
      <c r="AA52" s="348">
        <f>ROUND(+$O35,0)+1</f>
        <v>-47</v>
      </c>
      <c r="AB52" s="85"/>
      <c r="AC52" s="85"/>
      <c r="AD52" s="85"/>
      <c r="AE52" s="246"/>
      <c r="AF52" s="22"/>
      <c r="AG52" s="22"/>
      <c r="AH52" s="22"/>
      <c r="AI52" s="22"/>
      <c r="AJ52" s="22"/>
      <c r="AK52" s="22"/>
      <c r="AL52" s="22"/>
      <c r="AM52" s="22"/>
      <c r="AN52" s="22"/>
      <c r="AO52" s="22"/>
      <c r="AP52" s="22"/>
      <c r="AQ52" s="22"/>
      <c r="AR52" s="22"/>
      <c r="AS52" s="22"/>
      <c r="AT52" s="22"/>
      <c r="AU52" s="22"/>
      <c r="AV52" s="22">
        <f t="shared" si="24"/>
        <v>-623</v>
      </c>
      <c r="AW52" s="188">
        <f>ROUND(O$33,0)-ROUND($AV52,0)</f>
        <v>0</v>
      </c>
    </row>
    <row r="53" spans="1:49" s="115" customFormat="1" x14ac:dyDescent="0.2">
      <c r="A53" s="115" t="s">
        <v>310</v>
      </c>
      <c r="B53" t="s">
        <v>66</v>
      </c>
      <c r="N53" s="106"/>
      <c r="O53" s="106"/>
      <c r="P53" s="106">
        <f>ROUND(+$P35,0)</f>
        <v>23</v>
      </c>
      <c r="Q53" s="106">
        <f t="shared" ref="Q53:Z53" si="37">ROUND(+$P35,0)</f>
        <v>23</v>
      </c>
      <c r="R53" s="106">
        <f t="shared" si="37"/>
        <v>23</v>
      </c>
      <c r="S53" s="106">
        <f t="shared" si="37"/>
        <v>23</v>
      </c>
      <c r="T53" s="106">
        <f t="shared" si="37"/>
        <v>23</v>
      </c>
      <c r="U53" s="106">
        <f t="shared" si="37"/>
        <v>23</v>
      </c>
      <c r="V53" s="106">
        <f t="shared" si="37"/>
        <v>23</v>
      </c>
      <c r="W53" s="106">
        <f t="shared" si="37"/>
        <v>23</v>
      </c>
      <c r="X53" s="106">
        <f t="shared" si="37"/>
        <v>23</v>
      </c>
      <c r="Y53" s="106">
        <f t="shared" si="37"/>
        <v>23</v>
      </c>
      <c r="Z53" s="106">
        <f t="shared" si="37"/>
        <v>23</v>
      </c>
      <c r="AA53" s="348">
        <f>ROUND(+$P35,0)-1</f>
        <v>22</v>
      </c>
      <c r="AB53" s="85">
        <f>ROUND(+$P35,0)-1</f>
        <v>22</v>
      </c>
      <c r="AC53" s="85"/>
      <c r="AD53" s="85"/>
      <c r="AE53" s="246"/>
      <c r="AF53" s="106"/>
      <c r="AG53" s="106"/>
      <c r="AH53" s="106"/>
      <c r="AI53" s="106"/>
      <c r="AJ53" s="106"/>
      <c r="AK53" s="106"/>
      <c r="AL53" s="106"/>
      <c r="AM53" s="106"/>
      <c r="AN53" s="106"/>
      <c r="AO53" s="106"/>
      <c r="AP53" s="106"/>
      <c r="AQ53" s="106"/>
      <c r="AR53" s="106"/>
      <c r="AS53" s="106"/>
      <c r="AT53" s="106"/>
      <c r="AU53" s="106"/>
      <c r="AV53" s="106">
        <f t="shared" si="24"/>
        <v>297</v>
      </c>
      <c r="AW53" s="188">
        <f>ROUND(P$33,0)-ROUND($AV53,0)</f>
        <v>0</v>
      </c>
    </row>
    <row r="54" spans="1:49" s="115" customFormat="1" x14ac:dyDescent="0.2">
      <c r="A54" s="115" t="s">
        <v>311</v>
      </c>
      <c r="B54" t="s">
        <v>66</v>
      </c>
      <c r="N54" s="106"/>
      <c r="O54" s="106"/>
      <c r="P54" s="106"/>
      <c r="Q54" s="106"/>
      <c r="R54" s="106">
        <f t="shared" ref="R54:Z54" si="38">ROUND(+$Q35,0)</f>
        <v>-46</v>
      </c>
      <c r="S54" s="106">
        <f t="shared" si="38"/>
        <v>-46</v>
      </c>
      <c r="T54" s="106">
        <f t="shared" si="38"/>
        <v>-46</v>
      </c>
      <c r="U54" s="106">
        <f t="shared" si="38"/>
        <v>-46</v>
      </c>
      <c r="V54" s="106">
        <f t="shared" si="38"/>
        <v>-46</v>
      </c>
      <c r="W54" s="106">
        <f t="shared" si="38"/>
        <v>-46</v>
      </c>
      <c r="X54" s="106">
        <f t="shared" si="38"/>
        <v>-46</v>
      </c>
      <c r="Y54" s="106">
        <f t="shared" si="38"/>
        <v>-46</v>
      </c>
      <c r="Z54" s="106">
        <f t="shared" si="38"/>
        <v>-46</v>
      </c>
      <c r="AA54" s="348">
        <f>ROUND(+$Q35,0)-1</f>
        <v>-47</v>
      </c>
      <c r="AB54" s="85">
        <f>ROUND(+$Q35,0)-1</f>
        <v>-47</v>
      </c>
      <c r="AC54" s="85">
        <f>ROUND(+$Q35,0)-1</f>
        <v>-47</v>
      </c>
      <c r="AD54" s="85">
        <f>ROUND(+$Q35,0)-1</f>
        <v>-47</v>
      </c>
      <c r="AE54" s="246"/>
      <c r="AF54" s="106"/>
      <c r="AG54" s="106"/>
      <c r="AH54" s="106"/>
      <c r="AI54" s="106"/>
      <c r="AJ54" s="106"/>
      <c r="AK54" s="106"/>
      <c r="AL54" s="106"/>
      <c r="AM54" s="106"/>
      <c r="AN54" s="106"/>
      <c r="AO54" s="106"/>
      <c r="AP54" s="106"/>
      <c r="AQ54" s="106"/>
      <c r="AR54" s="106"/>
      <c r="AS54" s="106"/>
      <c r="AT54" s="106"/>
      <c r="AU54" s="106"/>
      <c r="AV54" s="106">
        <f t="shared" si="24"/>
        <v>-602</v>
      </c>
      <c r="AW54" s="188">
        <f>ROUND(Q$33,0)-ROUND($AV54,0)</f>
        <v>0</v>
      </c>
    </row>
    <row r="55" spans="1:49" s="115" customFormat="1" x14ac:dyDescent="0.2">
      <c r="A55" s="115" t="s">
        <v>312</v>
      </c>
      <c r="B55" s="115" t="s">
        <v>66</v>
      </c>
      <c r="N55" s="106"/>
      <c r="O55" s="106"/>
      <c r="P55" s="106"/>
      <c r="Q55" s="106"/>
      <c r="R55" s="106"/>
      <c r="S55" s="106">
        <f t="shared" ref="S55:Y55" si="39">ROUND(+$R35,0)</f>
        <v>240</v>
      </c>
      <c r="T55" s="106">
        <f t="shared" si="39"/>
        <v>240</v>
      </c>
      <c r="U55" s="106">
        <f t="shared" si="39"/>
        <v>240</v>
      </c>
      <c r="V55" s="106">
        <f t="shared" si="39"/>
        <v>240</v>
      </c>
      <c r="W55" s="106">
        <f t="shared" si="39"/>
        <v>240</v>
      </c>
      <c r="X55" s="106">
        <f t="shared" si="39"/>
        <v>240</v>
      </c>
      <c r="Y55" s="106">
        <f t="shared" si="39"/>
        <v>240</v>
      </c>
      <c r="Z55" s="106">
        <f t="shared" ref="Z55:AE55" si="40">ROUND(+$R35,0)</f>
        <v>240</v>
      </c>
      <c r="AA55" s="348">
        <f t="shared" si="40"/>
        <v>240</v>
      </c>
      <c r="AB55" s="85">
        <f t="shared" si="40"/>
        <v>240</v>
      </c>
      <c r="AC55" s="85">
        <f t="shared" si="40"/>
        <v>240</v>
      </c>
      <c r="AD55" s="85">
        <f t="shared" si="40"/>
        <v>240</v>
      </c>
      <c r="AE55" s="246">
        <f t="shared" si="40"/>
        <v>240</v>
      </c>
      <c r="AF55" s="106">
        <f>ROUND(+$R35,0)*0.6-4</f>
        <v>140</v>
      </c>
      <c r="AG55" s="106"/>
      <c r="AH55" s="106"/>
      <c r="AI55" s="106"/>
      <c r="AJ55" s="106"/>
      <c r="AK55" s="106"/>
      <c r="AL55" s="106"/>
      <c r="AM55" s="106"/>
      <c r="AN55" s="106"/>
      <c r="AO55" s="106"/>
      <c r="AP55" s="106"/>
      <c r="AQ55" s="106"/>
      <c r="AR55" s="106"/>
      <c r="AS55" s="106"/>
      <c r="AT55" s="106"/>
      <c r="AU55" s="106"/>
      <c r="AV55" s="106">
        <f t="shared" si="24"/>
        <v>3260</v>
      </c>
      <c r="AW55" s="188">
        <f>ROUND(R$33,0)-ROUND($AV55,0)</f>
        <v>0</v>
      </c>
    </row>
    <row r="56" spans="1:49" s="115" customFormat="1" x14ac:dyDescent="0.2">
      <c r="A56" s="115" t="s">
        <v>313</v>
      </c>
      <c r="B56" s="115" t="s">
        <v>66</v>
      </c>
      <c r="N56" s="106"/>
      <c r="O56" s="106"/>
      <c r="P56" s="106"/>
      <c r="Q56" s="106"/>
      <c r="R56" s="106"/>
      <c r="S56" s="106"/>
      <c r="T56" s="106">
        <f t="shared" ref="T56:Z56" si="41">ROUND(+$S35,0)</f>
        <v>294</v>
      </c>
      <c r="U56" s="106">
        <f t="shared" si="41"/>
        <v>294</v>
      </c>
      <c r="V56" s="106">
        <f t="shared" si="41"/>
        <v>294</v>
      </c>
      <c r="W56" s="106">
        <f t="shared" si="41"/>
        <v>294</v>
      </c>
      <c r="X56" s="106">
        <f t="shared" si="41"/>
        <v>294</v>
      </c>
      <c r="Y56" s="106">
        <f t="shared" si="41"/>
        <v>294</v>
      </c>
      <c r="Z56" s="106">
        <f t="shared" si="41"/>
        <v>294</v>
      </c>
      <c r="AA56" s="348">
        <f t="shared" ref="AA56:AF56" si="42">ROUND(+$S35,0)</f>
        <v>294</v>
      </c>
      <c r="AB56" s="85">
        <f t="shared" si="42"/>
        <v>294</v>
      </c>
      <c r="AC56" s="85">
        <f t="shared" si="42"/>
        <v>294</v>
      </c>
      <c r="AD56" s="85">
        <f t="shared" si="42"/>
        <v>294</v>
      </c>
      <c r="AE56" s="246">
        <f t="shared" si="42"/>
        <v>294</v>
      </c>
      <c r="AF56" s="106">
        <f t="shared" si="42"/>
        <v>294</v>
      </c>
      <c r="AG56" s="106">
        <f>ROUND(+$S35,0)-60</f>
        <v>234</v>
      </c>
      <c r="AH56" s="106"/>
      <c r="AI56" s="106"/>
      <c r="AJ56" s="106"/>
      <c r="AK56" s="106"/>
      <c r="AL56" s="106"/>
      <c r="AM56" s="106"/>
      <c r="AN56" s="106"/>
      <c r="AO56" s="106"/>
      <c r="AP56" s="106"/>
      <c r="AQ56" s="106"/>
      <c r="AR56" s="106"/>
      <c r="AS56" s="106"/>
      <c r="AT56" s="106"/>
      <c r="AU56" s="106"/>
      <c r="AV56" s="106">
        <f t="shared" si="24"/>
        <v>4056</v>
      </c>
      <c r="AW56" s="188">
        <f>ROUND(S$33,0)-ROUND($AV56,0)</f>
        <v>0</v>
      </c>
    </row>
    <row r="57" spans="1:49" s="115" customFormat="1" x14ac:dyDescent="0.2">
      <c r="A57" s="115" t="s">
        <v>314</v>
      </c>
      <c r="B57" s="115" t="s">
        <v>66</v>
      </c>
      <c r="N57" s="106"/>
      <c r="O57" s="106"/>
      <c r="P57" s="106"/>
      <c r="Q57" s="106"/>
      <c r="R57" s="106"/>
      <c r="S57" s="106"/>
      <c r="T57" s="207"/>
      <c r="U57" s="106">
        <f t="shared" ref="U57:AA57" si="43">ROUND(+$T35,0)</f>
        <v>-198</v>
      </c>
      <c r="V57" s="106">
        <f t="shared" si="43"/>
        <v>-198</v>
      </c>
      <c r="W57" s="106">
        <f t="shared" si="43"/>
        <v>-198</v>
      </c>
      <c r="X57" s="106">
        <f t="shared" si="43"/>
        <v>-198</v>
      </c>
      <c r="Y57" s="106">
        <f t="shared" si="43"/>
        <v>-198</v>
      </c>
      <c r="Z57" s="106">
        <f t="shared" si="43"/>
        <v>-198</v>
      </c>
      <c r="AA57" s="348">
        <f t="shared" si="43"/>
        <v>-198</v>
      </c>
      <c r="AB57" s="85">
        <f t="shared" ref="AB57:AG57" si="44">ROUND(+$T35,0)</f>
        <v>-198</v>
      </c>
      <c r="AC57" s="85">
        <f t="shared" si="44"/>
        <v>-198</v>
      </c>
      <c r="AD57" s="85">
        <f t="shared" si="44"/>
        <v>-198</v>
      </c>
      <c r="AE57" s="246">
        <f t="shared" si="44"/>
        <v>-198</v>
      </c>
      <c r="AF57" s="106">
        <f t="shared" si="44"/>
        <v>-198</v>
      </c>
      <c r="AG57" s="106">
        <f t="shared" si="44"/>
        <v>-198</v>
      </c>
      <c r="AH57" s="106">
        <f>ROUND(+$T35,0)-1</f>
        <v>-199</v>
      </c>
      <c r="AI57" s="106"/>
      <c r="AJ57" s="106"/>
      <c r="AK57" s="106"/>
      <c r="AL57" s="106"/>
      <c r="AM57" s="106"/>
      <c r="AN57" s="106"/>
      <c r="AO57" s="106"/>
      <c r="AP57" s="106"/>
      <c r="AQ57" s="106"/>
      <c r="AR57" s="106"/>
      <c r="AS57" s="106"/>
      <c r="AT57" s="106"/>
      <c r="AU57" s="106"/>
      <c r="AV57" s="106">
        <f t="shared" si="24"/>
        <v>-2773</v>
      </c>
      <c r="AW57" s="188">
        <f>ROUND(T$33,0)-ROUND($AV57,0)</f>
        <v>0</v>
      </c>
    </row>
    <row r="58" spans="1:49" s="115" customFormat="1" x14ac:dyDescent="0.2">
      <c r="A58" s="115" t="s">
        <v>329</v>
      </c>
      <c r="B58" s="115" t="s">
        <v>66</v>
      </c>
      <c r="N58" s="106"/>
      <c r="O58" s="106"/>
      <c r="P58" s="106"/>
      <c r="Q58" s="106"/>
      <c r="R58" s="106"/>
      <c r="S58" s="106"/>
      <c r="T58" s="106"/>
      <c r="U58" s="106"/>
      <c r="V58" s="106">
        <f>ROUND(+$U35,0)</f>
        <v>-269</v>
      </c>
      <c r="W58" s="106">
        <f t="shared" ref="W58:AH58" si="45">ROUND(+$U35,0)</f>
        <v>-269</v>
      </c>
      <c r="X58" s="106">
        <f t="shared" si="45"/>
        <v>-269</v>
      </c>
      <c r="Y58" s="106">
        <f t="shared" si="45"/>
        <v>-269</v>
      </c>
      <c r="Z58" s="106">
        <f t="shared" si="45"/>
        <v>-269</v>
      </c>
      <c r="AA58" s="348">
        <f t="shared" si="45"/>
        <v>-269</v>
      </c>
      <c r="AB58" s="85">
        <f t="shared" si="45"/>
        <v>-269</v>
      </c>
      <c r="AC58" s="85">
        <f t="shared" si="45"/>
        <v>-269</v>
      </c>
      <c r="AD58" s="85">
        <f t="shared" si="45"/>
        <v>-269</v>
      </c>
      <c r="AE58" s="246">
        <f t="shared" si="45"/>
        <v>-269</v>
      </c>
      <c r="AF58" s="106">
        <f t="shared" si="45"/>
        <v>-269</v>
      </c>
      <c r="AG58" s="106">
        <f t="shared" si="45"/>
        <v>-269</v>
      </c>
      <c r="AH58" s="106">
        <f t="shared" si="45"/>
        <v>-269</v>
      </c>
      <c r="AI58" s="106">
        <f>ROUND(+$U35,0)+1</f>
        <v>-268</v>
      </c>
      <c r="AJ58" s="106"/>
      <c r="AK58" s="106"/>
      <c r="AL58" s="106"/>
      <c r="AM58" s="106"/>
      <c r="AN58" s="106"/>
      <c r="AO58" s="106"/>
      <c r="AP58" s="106"/>
      <c r="AQ58" s="106"/>
      <c r="AR58" s="106"/>
      <c r="AS58" s="106"/>
      <c r="AT58" s="106"/>
      <c r="AU58" s="106"/>
      <c r="AV58" s="106">
        <f t="shared" si="24"/>
        <v>-3765</v>
      </c>
      <c r="AW58" s="189">
        <f>ROUND(U$33,0)-ROUND($AV58,0)</f>
        <v>0</v>
      </c>
    </row>
    <row r="59" spans="1:49" s="115" customFormat="1" x14ac:dyDescent="0.2">
      <c r="A59" s="115" t="s">
        <v>332</v>
      </c>
      <c r="B59" s="115" t="s">
        <v>66</v>
      </c>
      <c r="N59" s="106"/>
      <c r="O59" s="106"/>
      <c r="P59" s="106"/>
      <c r="Q59" s="106"/>
      <c r="R59" s="106"/>
      <c r="S59" s="106"/>
      <c r="T59" s="106"/>
      <c r="U59" s="106"/>
      <c r="V59" s="106"/>
      <c r="W59" s="106">
        <f t="shared" ref="W59:AE59" si="46">ROUND(+$V35,0)</f>
        <v>114</v>
      </c>
      <c r="X59" s="106">
        <f t="shared" si="46"/>
        <v>114</v>
      </c>
      <c r="Y59" s="106">
        <f t="shared" si="46"/>
        <v>114</v>
      </c>
      <c r="Z59" s="106">
        <f t="shared" si="46"/>
        <v>114</v>
      </c>
      <c r="AA59" s="348">
        <f t="shared" si="46"/>
        <v>114</v>
      </c>
      <c r="AB59" s="85">
        <f t="shared" si="46"/>
        <v>114</v>
      </c>
      <c r="AC59" s="85">
        <f t="shared" si="46"/>
        <v>114</v>
      </c>
      <c r="AD59" s="85">
        <f t="shared" si="46"/>
        <v>114</v>
      </c>
      <c r="AE59" s="246">
        <f t="shared" si="46"/>
        <v>114</v>
      </c>
      <c r="AF59" s="106">
        <f>ROUND(+$V35,0)</f>
        <v>114</v>
      </c>
      <c r="AG59" s="106">
        <f>ROUND(+$V35,0)</f>
        <v>114</v>
      </c>
      <c r="AH59" s="106">
        <f>ROUND(+$V35,0)</f>
        <v>114</v>
      </c>
      <c r="AI59" s="106">
        <f>ROUND(+$V35,0)</f>
        <v>114</v>
      </c>
      <c r="AJ59" s="207">
        <f>ROUND(+$V35,0)-12-6</f>
        <v>96</v>
      </c>
      <c r="AK59" s="106"/>
      <c r="AL59" s="106"/>
      <c r="AM59" s="106"/>
      <c r="AN59" s="106"/>
      <c r="AO59" s="106"/>
      <c r="AP59" s="106"/>
      <c r="AQ59" s="106"/>
      <c r="AR59" s="106"/>
      <c r="AS59" s="106"/>
      <c r="AT59" s="106"/>
      <c r="AU59" s="106"/>
      <c r="AV59" s="106">
        <f>SUM(C59:AN59)</f>
        <v>1578</v>
      </c>
      <c r="AW59" s="189">
        <f>ROUND(V$33,0)-ROUND($AV59,0)</f>
        <v>0</v>
      </c>
    </row>
    <row r="60" spans="1:49" s="115" customFormat="1" x14ac:dyDescent="0.2">
      <c r="A60" s="115" t="s">
        <v>336</v>
      </c>
      <c r="B60" s="115" t="s">
        <v>66</v>
      </c>
      <c r="N60" s="106"/>
      <c r="O60" s="106"/>
      <c r="P60" s="106"/>
      <c r="Q60" s="106"/>
      <c r="R60" s="106"/>
      <c r="S60" s="106"/>
      <c r="T60" s="106"/>
      <c r="U60" s="106"/>
      <c r="V60" s="106"/>
      <c r="W60" s="106"/>
      <c r="X60" s="106">
        <f>ROUND(+$W35,0)</f>
        <v>-309</v>
      </c>
      <c r="Y60" s="106">
        <f>ROUND(+$W35,0)</f>
        <v>-309</v>
      </c>
      <c r="Z60" s="106">
        <f>ROUND(+$W35,0)</f>
        <v>-309</v>
      </c>
      <c r="AA60" s="348">
        <f>ROUND(+$W35,0)</f>
        <v>-309</v>
      </c>
      <c r="AB60" s="85">
        <f t="shared" ref="AB60:AG60" si="47">ROUND(+$W35,0)</f>
        <v>-309</v>
      </c>
      <c r="AC60" s="85">
        <f t="shared" si="47"/>
        <v>-309</v>
      </c>
      <c r="AD60" s="85">
        <f t="shared" si="47"/>
        <v>-309</v>
      </c>
      <c r="AE60" s="246">
        <f t="shared" si="47"/>
        <v>-309</v>
      </c>
      <c r="AF60" s="106">
        <f t="shared" si="47"/>
        <v>-309</v>
      </c>
      <c r="AG60" s="106">
        <f t="shared" si="47"/>
        <v>-309</v>
      </c>
      <c r="AH60" s="106">
        <f>ROUND(+$W35,0)</f>
        <v>-309</v>
      </c>
      <c r="AI60" s="106">
        <f>ROUND(+$W35,0)</f>
        <v>-309</v>
      </c>
      <c r="AJ60" s="106">
        <f>ROUND(+$W35,0)</f>
        <v>-309</v>
      </c>
      <c r="AK60" s="106">
        <f>ROUND(+$W35,0)+38</f>
        <v>-271</v>
      </c>
      <c r="AL60" s="207">
        <f>-77+13+1</f>
        <v>-63</v>
      </c>
      <c r="AM60" s="106"/>
      <c r="AN60" s="106"/>
      <c r="AO60" s="106"/>
      <c r="AP60" s="106"/>
      <c r="AQ60" s="106"/>
      <c r="AR60" s="106"/>
      <c r="AS60" s="106"/>
      <c r="AT60" s="106"/>
      <c r="AU60" s="106"/>
      <c r="AV60" s="106">
        <f>SUM(C60:AN60)</f>
        <v>-4351</v>
      </c>
      <c r="AW60" s="189">
        <f>ROUND(W$33,0)-ROUND($AV60,0)</f>
        <v>0</v>
      </c>
    </row>
    <row r="61" spans="1:49" s="115" customFormat="1" x14ac:dyDescent="0.2">
      <c r="A61" s="115" t="s">
        <v>350</v>
      </c>
      <c r="B61" s="115" t="s">
        <v>66</v>
      </c>
      <c r="N61" s="106"/>
      <c r="O61" s="106"/>
      <c r="P61" s="106"/>
      <c r="Q61" s="106"/>
      <c r="R61" s="106"/>
      <c r="S61" s="106"/>
      <c r="T61" s="106"/>
      <c r="U61" s="106" t="s">
        <v>352</v>
      </c>
      <c r="V61" s="106" t="s">
        <v>353</v>
      </c>
      <c r="W61" s="106"/>
      <c r="X61" s="106"/>
      <c r="Y61" s="106">
        <f>ROUND(+$X35,0)</f>
        <v>69</v>
      </c>
      <c r="Z61" s="106">
        <f t="shared" ref="Z61:AL61" si="48">ROUND(+$X35,0)</f>
        <v>69</v>
      </c>
      <c r="AA61" s="348">
        <f t="shared" si="48"/>
        <v>69</v>
      </c>
      <c r="AB61" s="85">
        <f t="shared" si="48"/>
        <v>69</v>
      </c>
      <c r="AC61" s="85">
        <f t="shared" si="48"/>
        <v>69</v>
      </c>
      <c r="AD61" s="85">
        <f t="shared" si="48"/>
        <v>69</v>
      </c>
      <c r="AE61" s="246">
        <f t="shared" si="48"/>
        <v>69</v>
      </c>
      <c r="AF61" s="106">
        <f t="shared" si="48"/>
        <v>69</v>
      </c>
      <c r="AG61" s="106">
        <f t="shared" si="48"/>
        <v>69</v>
      </c>
      <c r="AH61" s="106">
        <f t="shared" si="48"/>
        <v>69</v>
      </c>
      <c r="AI61" s="106">
        <f t="shared" si="48"/>
        <v>69</v>
      </c>
      <c r="AJ61" s="106">
        <f t="shared" si="48"/>
        <v>69</v>
      </c>
      <c r="AK61" s="106">
        <f t="shared" si="48"/>
        <v>69</v>
      </c>
      <c r="AL61" s="106">
        <f t="shared" si="48"/>
        <v>69</v>
      </c>
      <c r="AM61" s="106">
        <f>ROUND(+$X35,0)*0.6-3</f>
        <v>38.4</v>
      </c>
      <c r="AN61" s="106"/>
      <c r="AO61" s="106"/>
      <c r="AP61" s="106"/>
      <c r="AQ61" s="106"/>
      <c r="AR61" s="106"/>
      <c r="AS61" s="106"/>
      <c r="AT61" s="106"/>
      <c r="AU61" s="106"/>
      <c r="AV61" s="106">
        <f>SUM(C61:AN61)</f>
        <v>1004.4</v>
      </c>
      <c r="AW61" s="189">
        <f>ROUND(X$33,0)-ROUND($AV61,0)</f>
        <v>0</v>
      </c>
    </row>
    <row r="62" spans="1:49" s="115" customFormat="1" x14ac:dyDescent="0.2">
      <c r="A62" s="115" t="s">
        <v>355</v>
      </c>
      <c r="B62" s="115" t="s">
        <v>66</v>
      </c>
      <c r="N62" s="106"/>
      <c r="O62" s="106"/>
      <c r="P62" s="106"/>
      <c r="Q62" s="106"/>
      <c r="R62" s="106"/>
      <c r="S62" s="106"/>
      <c r="T62" s="106"/>
      <c r="U62" s="106" t="s">
        <v>352</v>
      </c>
      <c r="V62" s="106" t="s">
        <v>353</v>
      </c>
      <c r="W62" s="106"/>
      <c r="X62" s="106"/>
      <c r="Y62" s="106"/>
      <c r="Z62" s="106">
        <f>ROUND(+$Y35,0)</f>
        <v>421</v>
      </c>
      <c r="AA62" s="348">
        <f t="shared" ref="AA62:AF62" si="49">ROUND(+$Y35,0)</f>
        <v>421</v>
      </c>
      <c r="AB62" s="85">
        <f t="shared" si="49"/>
        <v>421</v>
      </c>
      <c r="AC62" s="85">
        <f t="shared" si="49"/>
        <v>421</v>
      </c>
      <c r="AD62" s="85">
        <f t="shared" si="49"/>
        <v>421</v>
      </c>
      <c r="AE62" s="246">
        <f t="shared" si="49"/>
        <v>421</v>
      </c>
      <c r="AF62" s="106">
        <f t="shared" si="49"/>
        <v>421</v>
      </c>
      <c r="AG62" s="106">
        <f t="shared" ref="AG62:AM62" si="50">ROUND(+$Y35,0)</f>
        <v>421</v>
      </c>
      <c r="AH62" s="106">
        <f t="shared" si="50"/>
        <v>421</v>
      </c>
      <c r="AI62" s="106">
        <f t="shared" si="50"/>
        <v>421</v>
      </c>
      <c r="AJ62" s="106">
        <f t="shared" si="50"/>
        <v>421</v>
      </c>
      <c r="AK62" s="106">
        <f t="shared" si="50"/>
        <v>421</v>
      </c>
      <c r="AL62" s="106">
        <f t="shared" si="50"/>
        <v>421</v>
      </c>
      <c r="AM62" s="106">
        <f t="shared" si="50"/>
        <v>421</v>
      </c>
      <c r="AN62" s="106">
        <f>ROUND(+$Y35,0)*0.5</f>
        <v>210.5</v>
      </c>
      <c r="AO62" s="106"/>
      <c r="AP62" s="106"/>
      <c r="AQ62" s="106"/>
      <c r="AR62" s="106"/>
      <c r="AS62" s="106"/>
      <c r="AT62" s="106"/>
      <c r="AU62" s="106"/>
      <c r="AV62" s="106">
        <f>SUM(C62:AN62)</f>
        <v>6104.5</v>
      </c>
      <c r="AW62" s="189">
        <f>ROUND(Y$33,0)-ROUND($AV62,0)</f>
        <v>0</v>
      </c>
    </row>
    <row r="63" spans="1:49" s="115" customFormat="1" x14ac:dyDescent="0.2">
      <c r="A63" s="115" t="s">
        <v>358</v>
      </c>
      <c r="B63" s="115" t="s">
        <v>66</v>
      </c>
      <c r="N63" s="106"/>
      <c r="O63" s="106"/>
      <c r="P63" s="106"/>
      <c r="Q63" s="106"/>
      <c r="R63" s="106"/>
      <c r="S63" s="106"/>
      <c r="T63" s="106"/>
      <c r="U63" s="106" t="s">
        <v>352</v>
      </c>
      <c r="V63" s="106" t="s">
        <v>353</v>
      </c>
      <c r="W63" s="106"/>
      <c r="X63" s="106"/>
      <c r="Y63" s="106"/>
      <c r="Z63" s="106"/>
      <c r="AA63" s="348">
        <f>ROUND(+$Z35,0)</f>
        <v>433</v>
      </c>
      <c r="AB63" s="85">
        <f t="shared" ref="AB63:AM63" si="51">ROUND(+$Z35,0)</f>
        <v>433</v>
      </c>
      <c r="AC63" s="85">
        <f t="shared" si="51"/>
        <v>433</v>
      </c>
      <c r="AD63" s="85">
        <f t="shared" si="51"/>
        <v>433</v>
      </c>
      <c r="AE63" s="246">
        <f t="shared" si="51"/>
        <v>433</v>
      </c>
      <c r="AF63" s="106">
        <f t="shared" si="51"/>
        <v>433</v>
      </c>
      <c r="AG63" s="501">
        <f t="shared" si="51"/>
        <v>433</v>
      </c>
      <c r="AH63" s="501">
        <f t="shared" si="51"/>
        <v>433</v>
      </c>
      <c r="AI63" s="501">
        <f t="shared" si="51"/>
        <v>433</v>
      </c>
      <c r="AJ63" s="501">
        <f t="shared" si="51"/>
        <v>433</v>
      </c>
      <c r="AK63" s="501">
        <f t="shared" si="51"/>
        <v>433</v>
      </c>
      <c r="AL63" s="501">
        <f t="shared" si="51"/>
        <v>433</v>
      </c>
      <c r="AM63" s="501">
        <f t="shared" si="51"/>
        <v>433</v>
      </c>
      <c r="AN63" s="501">
        <f>ROUND(+$Z35,0)</f>
        <v>433</v>
      </c>
      <c r="AO63" s="502">
        <f>ROUND(+$Z35,0)*0.4+6</f>
        <v>179.20000000000002</v>
      </c>
      <c r="AP63" s="501"/>
      <c r="AQ63" s="501"/>
      <c r="AR63" s="501"/>
      <c r="AS63" s="501"/>
      <c r="AT63" s="501"/>
      <c r="AU63" s="501"/>
      <c r="AV63" s="106">
        <f>SUM(C63:AO63)</f>
        <v>6241.2</v>
      </c>
      <c r="AW63" s="189">
        <f>ROUND(Z$33,0)-ROUND($AV63,0)</f>
        <v>0</v>
      </c>
    </row>
    <row r="64" spans="1:49" s="115" customFormat="1" x14ac:dyDescent="0.2">
      <c r="A64" s="498" t="s">
        <v>363</v>
      </c>
      <c r="B64" s="498" t="s">
        <v>66</v>
      </c>
      <c r="C64" s="498"/>
      <c r="D64" s="498"/>
      <c r="E64" s="498"/>
      <c r="F64" s="498"/>
      <c r="G64" s="498"/>
      <c r="H64" s="498"/>
      <c r="I64" s="498"/>
      <c r="J64" s="498"/>
      <c r="K64" s="498"/>
      <c r="L64" s="498"/>
      <c r="M64" s="498"/>
      <c r="N64" s="499"/>
      <c r="O64" s="499"/>
      <c r="P64" s="499"/>
      <c r="Q64" s="499"/>
      <c r="R64" s="499"/>
      <c r="S64" s="499"/>
      <c r="T64" s="499"/>
      <c r="U64" s="499"/>
      <c r="V64" s="499"/>
      <c r="W64" s="499"/>
      <c r="X64" s="499"/>
      <c r="Y64" s="499"/>
      <c r="Z64" s="499"/>
      <c r="AA64" s="499"/>
      <c r="AB64" s="499">
        <f>ROUND($AA$35,0)</f>
        <v>594</v>
      </c>
      <c r="AC64" s="499">
        <f t="shared" ref="AC64:AK64" si="52">ROUND($AA$35,0)</f>
        <v>594</v>
      </c>
      <c r="AD64" s="499">
        <f t="shared" si="52"/>
        <v>594</v>
      </c>
      <c r="AE64" s="499">
        <f t="shared" si="52"/>
        <v>594</v>
      </c>
      <c r="AF64" s="499">
        <f t="shared" si="52"/>
        <v>594</v>
      </c>
      <c r="AG64" s="499">
        <f t="shared" si="52"/>
        <v>594</v>
      </c>
      <c r="AH64" s="499">
        <f t="shared" si="52"/>
        <v>594</v>
      </c>
      <c r="AI64" s="499">
        <f t="shared" si="52"/>
        <v>594</v>
      </c>
      <c r="AJ64" s="499">
        <f t="shared" si="52"/>
        <v>594</v>
      </c>
      <c r="AK64" s="499">
        <f t="shared" si="52"/>
        <v>594</v>
      </c>
      <c r="AL64" s="499">
        <f>ROUND($AA$35,0)-1</f>
        <v>593</v>
      </c>
      <c r="AM64" s="499">
        <f>ROUND($AA$35,0)-1</f>
        <v>593</v>
      </c>
      <c r="AN64" s="499">
        <f>ROUND($AA$35,0)-1</f>
        <v>593</v>
      </c>
      <c r="AO64" s="499">
        <f>ROUND($AA$35,0)-1</f>
        <v>593</v>
      </c>
      <c r="AP64" s="499">
        <f>ROUND($AA$35,0)-1</f>
        <v>593</v>
      </c>
      <c r="AQ64" s="500">
        <f>ROUND($AA$35,0)*0.3+6</f>
        <v>184.2</v>
      </c>
      <c r="AR64" s="499"/>
      <c r="AS64" s="499"/>
      <c r="AT64" s="499"/>
      <c r="AU64" s="499"/>
      <c r="AV64" s="106">
        <f>SUM(C64:AQ64)</f>
        <v>9089.2000000000007</v>
      </c>
      <c r="AW64" s="224">
        <f>ROUND(AA$33,0)-ROUND($AV64,0)</f>
        <v>5</v>
      </c>
    </row>
    <row r="65" spans="1:49" s="115" customFormat="1" x14ac:dyDescent="0.2">
      <c r="A65" s="311" t="s">
        <v>368</v>
      </c>
      <c r="B65" s="76" t="s">
        <v>66</v>
      </c>
      <c r="C65" s="76"/>
      <c r="D65" s="76"/>
      <c r="E65" s="76"/>
      <c r="F65" s="76"/>
      <c r="G65" s="76"/>
      <c r="H65" s="76"/>
      <c r="I65" s="76"/>
      <c r="J65" s="76"/>
      <c r="K65" s="76"/>
      <c r="L65" s="76"/>
      <c r="M65" s="76"/>
      <c r="N65" s="85"/>
      <c r="O65" s="85"/>
      <c r="P65" s="85"/>
      <c r="Q65" s="85"/>
      <c r="R65" s="85"/>
      <c r="S65" s="85"/>
      <c r="T65" s="85"/>
      <c r="U65" s="85"/>
      <c r="V65" s="85"/>
      <c r="W65" s="85"/>
      <c r="X65" s="85"/>
      <c r="Y65" s="85"/>
      <c r="Z65" s="85"/>
      <c r="AA65" s="348"/>
      <c r="AB65" s="85"/>
      <c r="AC65" s="85">
        <f>ROUND($AB$35,0)</f>
        <v>417</v>
      </c>
      <c r="AD65" s="85">
        <f t="shared" ref="AD65:AQ65" si="53">ROUND($AB$35,0)</f>
        <v>417</v>
      </c>
      <c r="AE65" s="246">
        <f t="shared" si="53"/>
        <v>417</v>
      </c>
      <c r="AF65" s="85">
        <f t="shared" si="53"/>
        <v>417</v>
      </c>
      <c r="AG65" s="85">
        <f t="shared" si="53"/>
        <v>417</v>
      </c>
      <c r="AH65" s="85">
        <f t="shared" si="53"/>
        <v>417</v>
      </c>
      <c r="AI65" s="85">
        <f t="shared" si="53"/>
        <v>417</v>
      </c>
      <c r="AJ65" s="85">
        <f t="shared" si="53"/>
        <v>417</v>
      </c>
      <c r="AK65" s="85">
        <f t="shared" si="53"/>
        <v>417</v>
      </c>
      <c r="AL65" s="85">
        <f t="shared" si="53"/>
        <v>417</v>
      </c>
      <c r="AM65" s="85">
        <f t="shared" si="53"/>
        <v>417</v>
      </c>
      <c r="AN65" s="85">
        <f t="shared" si="53"/>
        <v>417</v>
      </c>
      <c r="AO65" s="85">
        <f t="shared" si="53"/>
        <v>417</v>
      </c>
      <c r="AP65" s="85">
        <f t="shared" si="53"/>
        <v>417</v>
      </c>
      <c r="AQ65" s="85">
        <f t="shared" si="53"/>
        <v>417</v>
      </c>
      <c r="AR65" s="402">
        <f>ROUND($AB$35,0)*0.3+5</f>
        <v>130.1</v>
      </c>
      <c r="AS65" s="85"/>
      <c r="AT65" s="85"/>
      <c r="AU65" s="85"/>
      <c r="AV65" s="106">
        <f>SUM(AC65:AR65)</f>
        <v>6385.1</v>
      </c>
      <c r="AW65" s="224">
        <f>AB33-AV65</f>
        <v>-6.359715462758686</v>
      </c>
    </row>
    <row r="66" spans="1:49" s="115" customFormat="1" x14ac:dyDescent="0.2">
      <c r="A66" s="311" t="s">
        <v>371</v>
      </c>
      <c r="B66" s="76" t="s">
        <v>66</v>
      </c>
      <c r="C66" s="76"/>
      <c r="D66" s="76"/>
      <c r="E66" s="76"/>
      <c r="F66" s="76"/>
      <c r="G66" s="76"/>
      <c r="H66" s="76"/>
      <c r="I66" s="76"/>
      <c r="J66" s="76"/>
      <c r="K66" s="76"/>
      <c r="L66" s="76"/>
      <c r="M66" s="76"/>
      <c r="N66" s="85"/>
      <c r="O66" s="85"/>
      <c r="P66" s="85"/>
      <c r="Q66" s="85"/>
      <c r="R66" s="85"/>
      <c r="S66" s="85"/>
      <c r="T66" s="85"/>
      <c r="U66" s="85"/>
      <c r="V66" s="85"/>
      <c r="W66" s="85"/>
      <c r="X66" s="85"/>
      <c r="Y66" s="85"/>
      <c r="Z66" s="85"/>
      <c r="AA66" s="348"/>
      <c r="AB66" s="85"/>
      <c r="AC66" s="85"/>
      <c r="AD66" s="85">
        <f>ROUND($AC$35,0)</f>
        <v>312</v>
      </c>
      <c r="AE66" s="246">
        <f t="shared" ref="AE66:AR66" si="54">ROUND($AC$35,0)</f>
        <v>312</v>
      </c>
      <c r="AF66" s="85">
        <f t="shared" si="54"/>
        <v>312</v>
      </c>
      <c r="AG66" s="85">
        <f t="shared" si="54"/>
        <v>312</v>
      </c>
      <c r="AH66" s="85">
        <f t="shared" si="54"/>
        <v>312</v>
      </c>
      <c r="AI66" s="85">
        <f t="shared" si="54"/>
        <v>312</v>
      </c>
      <c r="AJ66" s="85">
        <f t="shared" si="54"/>
        <v>312</v>
      </c>
      <c r="AK66" s="85">
        <f t="shared" si="54"/>
        <v>312</v>
      </c>
      <c r="AL66" s="85">
        <f t="shared" si="54"/>
        <v>312</v>
      </c>
      <c r="AM66" s="85">
        <f t="shared" si="54"/>
        <v>312</v>
      </c>
      <c r="AN66" s="85">
        <f t="shared" si="54"/>
        <v>312</v>
      </c>
      <c r="AO66" s="85">
        <f t="shared" si="54"/>
        <v>312</v>
      </c>
      <c r="AP66" s="85">
        <f t="shared" si="54"/>
        <v>312</v>
      </c>
      <c r="AQ66" s="85">
        <f t="shared" si="54"/>
        <v>312</v>
      </c>
      <c r="AR66" s="85">
        <f t="shared" si="54"/>
        <v>312</v>
      </c>
      <c r="AS66" s="402">
        <f>ROUND($AC$35,0)*0.3-4</f>
        <v>89.6</v>
      </c>
      <c r="AT66" s="85"/>
      <c r="AU66" s="85"/>
      <c r="AV66" s="106">
        <f>SUM(AC66:AT66)</f>
        <v>4769.6000000000004</v>
      </c>
      <c r="AW66" s="224">
        <f>AC33-AV66</f>
        <v>-0.10439138384572288</v>
      </c>
    </row>
    <row r="67" spans="1:49" s="115" customFormat="1" x14ac:dyDescent="0.2">
      <c r="A67" s="394" t="s">
        <v>407</v>
      </c>
      <c r="B67" s="76" t="s">
        <v>66</v>
      </c>
      <c r="C67" s="76"/>
      <c r="D67" s="76"/>
      <c r="E67" s="76"/>
      <c r="F67" s="76"/>
      <c r="G67" s="76"/>
      <c r="H67" s="76"/>
      <c r="I67" s="76"/>
      <c r="J67" s="76"/>
      <c r="K67" s="76"/>
      <c r="L67" s="76"/>
      <c r="M67" s="76"/>
      <c r="N67" s="85"/>
      <c r="O67" s="85"/>
      <c r="P67" s="85"/>
      <c r="Q67" s="85"/>
      <c r="R67" s="85"/>
      <c r="S67" s="85"/>
      <c r="T67" s="85"/>
      <c r="U67" s="85"/>
      <c r="V67" s="85"/>
      <c r="W67" s="85"/>
      <c r="X67" s="85"/>
      <c r="Y67" s="85"/>
      <c r="Z67" s="85"/>
      <c r="AA67" s="348"/>
      <c r="AB67" s="85"/>
      <c r="AC67" s="85"/>
      <c r="AD67" s="85"/>
      <c r="AE67" s="246">
        <f>ROUND($AD$35,0)</f>
        <v>235</v>
      </c>
      <c r="AF67" s="85">
        <f t="shared" ref="AF67:AS67" si="55">ROUND($AD$35,0)</f>
        <v>235</v>
      </c>
      <c r="AG67" s="85">
        <f t="shared" si="55"/>
        <v>235</v>
      </c>
      <c r="AH67" s="85">
        <f t="shared" si="55"/>
        <v>235</v>
      </c>
      <c r="AI67" s="85">
        <f t="shared" si="55"/>
        <v>235</v>
      </c>
      <c r="AJ67" s="85">
        <f t="shared" si="55"/>
        <v>235</v>
      </c>
      <c r="AK67" s="85">
        <f t="shared" si="55"/>
        <v>235</v>
      </c>
      <c r="AL67" s="85">
        <f t="shared" si="55"/>
        <v>235</v>
      </c>
      <c r="AM67" s="85">
        <f t="shared" si="55"/>
        <v>235</v>
      </c>
      <c r="AN67" s="85">
        <f t="shared" si="55"/>
        <v>235</v>
      </c>
      <c r="AO67" s="85">
        <f t="shared" si="55"/>
        <v>235</v>
      </c>
      <c r="AP67" s="85">
        <f t="shared" si="55"/>
        <v>235</v>
      </c>
      <c r="AQ67" s="85">
        <f t="shared" si="55"/>
        <v>235</v>
      </c>
      <c r="AR67" s="85">
        <f t="shared" si="55"/>
        <v>235</v>
      </c>
      <c r="AS67" s="85">
        <f t="shared" si="55"/>
        <v>235</v>
      </c>
      <c r="AT67" s="402">
        <f>ROUND($AD$35,0)*0.3-4</f>
        <v>66.5</v>
      </c>
      <c r="AU67" s="85"/>
      <c r="AV67" s="106">
        <f>SUM(AC67:AT67)</f>
        <v>3591.5</v>
      </c>
      <c r="AW67" s="224">
        <f>ROUND(AD33,0)-ROUND(AV67,0)</f>
        <v>0</v>
      </c>
    </row>
    <row r="68" spans="1:49" s="115" customFormat="1" x14ac:dyDescent="0.2">
      <c r="A68" s="235" t="s">
        <v>445</v>
      </c>
      <c r="B68" s="76" t="s">
        <v>66</v>
      </c>
      <c r="C68" s="76"/>
      <c r="D68" s="76"/>
      <c r="E68" s="76"/>
      <c r="F68" s="76"/>
      <c r="G68" s="76"/>
      <c r="H68" s="76"/>
      <c r="I68" s="76"/>
      <c r="J68" s="76"/>
      <c r="K68" s="76"/>
      <c r="L68" s="76"/>
      <c r="M68" s="76"/>
      <c r="N68" s="85"/>
      <c r="O68" s="85"/>
      <c r="P68" s="85"/>
      <c r="Q68" s="85"/>
      <c r="R68" s="85"/>
      <c r="S68" s="85"/>
      <c r="T68" s="85"/>
      <c r="U68" s="85"/>
      <c r="V68" s="85"/>
      <c r="W68" s="85"/>
      <c r="X68" s="85"/>
      <c r="Y68" s="85"/>
      <c r="Z68" s="85"/>
      <c r="AA68" s="348"/>
      <c r="AB68" s="85"/>
      <c r="AC68" s="85"/>
      <c r="AD68" s="85"/>
      <c r="AE68" s="246"/>
      <c r="AF68" s="85">
        <f>ROUND($AE$35,0)</f>
        <v>139</v>
      </c>
      <c r="AG68" s="85">
        <f t="shared" ref="AG68:AT68" si="56">ROUND($AE$35,0)</f>
        <v>139</v>
      </c>
      <c r="AH68" s="85">
        <f t="shared" si="56"/>
        <v>139</v>
      </c>
      <c r="AI68" s="85">
        <f t="shared" si="56"/>
        <v>139</v>
      </c>
      <c r="AJ68" s="85">
        <f t="shared" si="56"/>
        <v>139</v>
      </c>
      <c r="AK68" s="85">
        <f t="shared" si="56"/>
        <v>139</v>
      </c>
      <c r="AL68" s="85">
        <f t="shared" si="56"/>
        <v>139</v>
      </c>
      <c r="AM68" s="85">
        <f t="shared" si="56"/>
        <v>139</v>
      </c>
      <c r="AN68" s="85">
        <f t="shared" si="56"/>
        <v>139</v>
      </c>
      <c r="AO68" s="85">
        <f t="shared" si="56"/>
        <v>139</v>
      </c>
      <c r="AP68" s="85">
        <f t="shared" si="56"/>
        <v>139</v>
      </c>
      <c r="AQ68" s="85">
        <f t="shared" si="56"/>
        <v>139</v>
      </c>
      <c r="AR68" s="85">
        <f t="shared" si="56"/>
        <v>139</v>
      </c>
      <c r="AS68" s="85">
        <f t="shared" si="56"/>
        <v>139</v>
      </c>
      <c r="AT68" s="85">
        <f t="shared" si="56"/>
        <v>139</v>
      </c>
      <c r="AU68" s="497">
        <f>ROUND($AE$35,0)*0.3-1</f>
        <v>40.699999999999996</v>
      </c>
      <c r="AV68" s="106">
        <f>SUM(AC68:AU68)</f>
        <v>2125.6999999999998</v>
      </c>
      <c r="AW68" s="224">
        <f>ROUND(AE33,0)-ROUND(AV68,0)</f>
        <v>0</v>
      </c>
    </row>
    <row r="69" spans="1:49" s="31" customFormat="1" x14ac:dyDescent="0.2">
      <c r="A69" s="31" t="s">
        <v>90</v>
      </c>
      <c r="B69" s="31" t="s">
        <v>31</v>
      </c>
      <c r="C69" s="37">
        <f>SUM(C40:C67)</f>
        <v>111</v>
      </c>
      <c r="D69" s="37">
        <f t="shared" ref="D69:AC69" si="57">SUM(D40:D67)</f>
        <v>61</v>
      </c>
      <c r="E69" s="37">
        <f t="shared" si="57"/>
        <v>257</v>
      </c>
      <c r="F69" s="37">
        <f t="shared" si="57"/>
        <v>148</v>
      </c>
      <c r="G69" s="37">
        <f t="shared" si="57"/>
        <v>293</v>
      </c>
      <c r="H69" s="37">
        <f t="shared" si="57"/>
        <v>465</v>
      </c>
      <c r="I69" s="37">
        <f t="shared" si="57"/>
        <v>680</v>
      </c>
      <c r="J69" s="37">
        <f t="shared" si="57"/>
        <v>892</v>
      </c>
      <c r="K69" s="37">
        <f t="shared" si="57"/>
        <v>1211</v>
      </c>
      <c r="L69" s="37">
        <f t="shared" si="57"/>
        <v>1376</v>
      </c>
      <c r="M69" s="37">
        <f t="shared" si="57"/>
        <v>1250</v>
      </c>
      <c r="N69" s="37">
        <f t="shared" si="57"/>
        <v>1273</v>
      </c>
      <c r="O69" s="37">
        <f t="shared" si="57"/>
        <v>1225</v>
      </c>
      <c r="P69" s="136">
        <f t="shared" si="57"/>
        <v>1248</v>
      </c>
      <c r="Q69" s="136">
        <f t="shared" si="57"/>
        <v>1138</v>
      </c>
      <c r="R69" s="136">
        <f t="shared" si="57"/>
        <v>1140</v>
      </c>
      <c r="S69" s="136">
        <f t="shared" si="57"/>
        <v>1185</v>
      </c>
      <c r="T69" s="136">
        <f t="shared" si="57"/>
        <v>1587</v>
      </c>
      <c r="U69" s="136">
        <f t="shared" si="57"/>
        <v>1244</v>
      </c>
      <c r="V69" s="136">
        <f t="shared" si="57"/>
        <v>587</v>
      </c>
      <c r="W69" s="136">
        <f t="shared" si="57"/>
        <v>490</v>
      </c>
      <c r="X69" s="136">
        <f t="shared" si="57"/>
        <v>181</v>
      </c>
      <c r="Y69" s="136">
        <f t="shared" si="57"/>
        <v>-70</v>
      </c>
      <c r="Z69" s="136">
        <f>SUM(Z40:Z67)</f>
        <v>312</v>
      </c>
      <c r="AA69" s="354">
        <f t="shared" si="57"/>
        <v>723</v>
      </c>
      <c r="AB69" s="91">
        <f t="shared" si="57"/>
        <v>1364</v>
      </c>
      <c r="AC69" s="91">
        <f t="shared" si="57"/>
        <v>1759</v>
      </c>
      <c r="AD69" s="91">
        <f>SUM(AD40:AD67)</f>
        <v>2071</v>
      </c>
      <c r="AE69" s="253">
        <f>SUM(AE40:AE67)</f>
        <v>2353</v>
      </c>
      <c r="AF69" s="37">
        <f>SUM(AF40:AF68)</f>
        <v>2392</v>
      </c>
      <c r="AG69" s="37">
        <f t="shared" ref="AG69:AS69" si="58">SUM(AG40:AG68)</f>
        <v>2192</v>
      </c>
      <c r="AH69" s="37">
        <f t="shared" si="58"/>
        <v>1957</v>
      </c>
      <c r="AI69" s="37">
        <f t="shared" si="58"/>
        <v>2157</v>
      </c>
      <c r="AJ69" s="37">
        <f t="shared" si="58"/>
        <v>2407</v>
      </c>
      <c r="AK69" s="37">
        <f t="shared" si="58"/>
        <v>2349</v>
      </c>
      <c r="AL69" s="37">
        <f t="shared" si="58"/>
        <v>2556</v>
      </c>
      <c r="AM69" s="37">
        <f t="shared" si="58"/>
        <v>2588.4</v>
      </c>
      <c r="AN69" s="37">
        <f t="shared" si="58"/>
        <v>2339.5</v>
      </c>
      <c r="AO69" s="37">
        <f t="shared" si="58"/>
        <v>1875.2</v>
      </c>
      <c r="AP69" s="37">
        <f t="shared" si="58"/>
        <v>1696</v>
      </c>
      <c r="AQ69" s="37">
        <f t="shared" si="58"/>
        <v>1287.2</v>
      </c>
      <c r="AR69" s="37">
        <f t="shared" si="58"/>
        <v>816.1</v>
      </c>
      <c r="AS69" s="37">
        <f t="shared" si="58"/>
        <v>463.6</v>
      </c>
      <c r="AT69" s="37">
        <f>SUM(AT40:AT68)</f>
        <v>205.5</v>
      </c>
      <c r="AU69" s="37">
        <f>SUM(AU40:AU68)</f>
        <v>40.699999999999996</v>
      </c>
      <c r="AV69" s="106"/>
      <c r="AW69" s="187"/>
    </row>
    <row r="71" spans="1:49" s="3" customFormat="1" ht="15" x14ac:dyDescent="0.35">
      <c r="A71" s="41" t="s">
        <v>139</v>
      </c>
      <c r="D71" s="3">
        <f>'Data Input'!F16</f>
        <v>0</v>
      </c>
      <c r="E71" s="3">
        <f>'Data Input'!G16</f>
        <v>0</v>
      </c>
      <c r="F71" s="3">
        <f>'Data Input'!H16</f>
        <v>0</v>
      </c>
      <c r="G71" s="3">
        <f>'Data Input'!I16</f>
        <v>0</v>
      </c>
      <c r="H71" s="3">
        <f>'Data Input'!J16+500</f>
        <v>758</v>
      </c>
      <c r="I71" s="3">
        <f>'Data Input'!K16-500</f>
        <v>1513</v>
      </c>
      <c r="J71" s="3">
        <f>'Data Input'!L16</f>
        <v>0</v>
      </c>
      <c r="K71" s="3">
        <f>'Data Input'!M16</f>
        <v>0</v>
      </c>
      <c r="L71" s="3">
        <f>'Data Input'!N16</f>
        <v>0</v>
      </c>
      <c r="M71" s="3">
        <f>'Data Input'!O16</f>
        <v>4519</v>
      </c>
      <c r="N71" s="3">
        <f>'Data Input'!P16</f>
        <v>0</v>
      </c>
      <c r="O71" s="3">
        <f>'Data Input'!Q16</f>
        <v>0</v>
      </c>
      <c r="P71" s="121">
        <f>'Data Input'!R16</f>
        <v>0</v>
      </c>
      <c r="Q71" s="121">
        <f>'Data Input'!S16</f>
        <v>0</v>
      </c>
      <c r="R71" s="121">
        <f>'Data Input'!T16</f>
        <v>0</v>
      </c>
      <c r="S71" s="121">
        <f>'Data Input'!U16</f>
        <v>0</v>
      </c>
      <c r="T71" s="121">
        <f>'Data Input'!V16</f>
        <v>0</v>
      </c>
      <c r="U71" s="121">
        <f>'Data Input'!W16</f>
        <v>0</v>
      </c>
      <c r="V71" s="121">
        <f>'Data Input'!X16</f>
        <v>0</v>
      </c>
      <c r="W71" s="121">
        <f>'Data Input'!Y16</f>
        <v>0</v>
      </c>
      <c r="X71" s="121">
        <f>'Data Input'!Z16</f>
        <v>0</v>
      </c>
      <c r="Y71" s="121">
        <f>'Data Input'!AA16</f>
        <v>0</v>
      </c>
      <c r="Z71" s="121"/>
      <c r="AA71" s="344"/>
      <c r="AB71" s="79"/>
      <c r="AC71" s="79"/>
      <c r="AD71" s="79"/>
      <c r="AE71" s="240"/>
      <c r="AW71" s="178"/>
    </row>
    <row r="73" spans="1:49" x14ac:dyDescent="0.2">
      <c r="A73" s="28" t="s">
        <v>140</v>
      </c>
    </row>
    <row r="74" spans="1:49" s="3" customFormat="1" x14ac:dyDescent="0.2">
      <c r="A74" s="3" t="s">
        <v>112</v>
      </c>
      <c r="B74" s="3" t="s">
        <v>122</v>
      </c>
      <c r="H74" s="3">
        <f>amendment!C16</f>
        <v>-85</v>
      </c>
      <c r="I74" s="3">
        <f>amendment!D16</f>
        <v>-85</v>
      </c>
      <c r="J74" s="3">
        <f>amendment!E16</f>
        <v>-84</v>
      </c>
      <c r="K74" s="3">
        <f>amendment!F16</f>
        <v>-84</v>
      </c>
      <c r="L74" s="3">
        <f>amendment!G16</f>
        <v>-84</v>
      </c>
      <c r="M74" s="3">
        <f>amendment!H16</f>
        <v>-84</v>
      </c>
      <c r="N74" s="3">
        <f>amendment!I16</f>
        <v>-84</v>
      </c>
      <c r="O74" s="3">
        <f>amendment!J16</f>
        <v>-84</v>
      </c>
      <c r="P74" s="121">
        <f>amendment!K16</f>
        <v>-84</v>
      </c>
      <c r="Q74" s="121"/>
      <c r="R74" s="121"/>
      <c r="S74" s="121"/>
      <c r="T74" s="121"/>
      <c r="U74" s="121"/>
      <c r="V74" s="121"/>
      <c r="W74" s="121"/>
      <c r="X74" s="121"/>
      <c r="Y74" s="121"/>
      <c r="Z74" s="121"/>
      <c r="AA74" s="344"/>
      <c r="AB74" s="79"/>
      <c r="AC74" s="79"/>
      <c r="AD74" s="79"/>
      <c r="AE74" s="240"/>
      <c r="AW74" s="178"/>
    </row>
    <row r="75" spans="1:49" s="3" customFormat="1" x14ac:dyDescent="0.2">
      <c r="A75" s="3" t="s">
        <v>120</v>
      </c>
      <c r="B75" s="3" t="s">
        <v>122</v>
      </c>
      <c r="I75" s="3">
        <f>amendment!D29</f>
        <v>-26</v>
      </c>
      <c r="J75" s="3">
        <f>amendment!E29</f>
        <v>-27</v>
      </c>
      <c r="K75" s="3">
        <f>amendment!F29</f>
        <v>-27</v>
      </c>
      <c r="L75" s="3">
        <f>amendment!G29</f>
        <v>-27</v>
      </c>
      <c r="M75" s="3">
        <f>amendment!H29</f>
        <v>-27</v>
      </c>
      <c r="N75" s="3">
        <f>amendment!I29</f>
        <v>-27</v>
      </c>
      <c r="O75" s="3">
        <f>amendment!J29</f>
        <v>-27</v>
      </c>
      <c r="P75" s="121">
        <f>amendment!K29</f>
        <v>-27</v>
      </c>
      <c r="Q75" s="121">
        <f>amendment!L29</f>
        <v>0</v>
      </c>
      <c r="R75" s="121">
        <f>amendment!M29</f>
        <v>0</v>
      </c>
      <c r="S75" s="121"/>
      <c r="T75" s="121"/>
      <c r="U75" s="121"/>
      <c r="V75" s="121"/>
      <c r="W75" s="121"/>
      <c r="X75" s="121"/>
      <c r="Y75" s="121"/>
      <c r="Z75" s="121"/>
      <c r="AA75" s="344"/>
      <c r="AB75" s="79"/>
      <c r="AC75" s="79"/>
      <c r="AD75" s="79"/>
      <c r="AE75" s="240"/>
      <c r="AW75" s="178"/>
    </row>
    <row r="76" spans="1:49" s="3" customFormat="1" x14ac:dyDescent="0.2">
      <c r="A76" s="3" t="s">
        <v>121</v>
      </c>
      <c r="B76" s="3" t="s">
        <v>122</v>
      </c>
      <c r="I76" s="3">
        <f>amendment!D30</f>
        <v>-130</v>
      </c>
      <c r="J76" s="3">
        <f>amendment!E30</f>
        <v>-130</v>
      </c>
      <c r="K76" s="3">
        <f>amendment!F30</f>
        <v>-130</v>
      </c>
      <c r="L76" s="3">
        <f>amendment!G30</f>
        <v>-130</v>
      </c>
      <c r="M76" s="3">
        <f>amendment!H30</f>
        <v>-130</v>
      </c>
      <c r="N76" s="3">
        <f>amendment!I30</f>
        <v>-130</v>
      </c>
      <c r="O76" s="3">
        <f>amendment!J30</f>
        <v>-130</v>
      </c>
      <c r="P76" s="121">
        <f>amendment!K30</f>
        <v>-130</v>
      </c>
      <c r="Q76" s="121">
        <f>amendment!L30</f>
        <v>-129</v>
      </c>
      <c r="R76" s="121">
        <f>amendment!M30</f>
        <v>-129</v>
      </c>
      <c r="S76" s="121"/>
      <c r="T76" s="121"/>
      <c r="U76" s="121"/>
      <c r="V76" s="121"/>
      <c r="W76" s="121"/>
      <c r="X76" s="121"/>
      <c r="Y76" s="121"/>
      <c r="Z76" s="121"/>
      <c r="AA76" s="344"/>
      <c r="AB76" s="79"/>
      <c r="AC76" s="79"/>
      <c r="AD76" s="79"/>
      <c r="AE76" s="240"/>
      <c r="AW76" s="178"/>
    </row>
    <row r="77" spans="1:49" s="3" customFormat="1" x14ac:dyDescent="0.2">
      <c r="A77" s="3" t="s">
        <v>132</v>
      </c>
      <c r="B77" s="3" t="s">
        <v>122</v>
      </c>
      <c r="M77" s="3">
        <f>amendment!H48</f>
        <v>-66</v>
      </c>
      <c r="N77" s="3">
        <f>amendment!I48</f>
        <v>-66</v>
      </c>
      <c r="O77" s="3">
        <f>amendment!J48</f>
        <v>-66</v>
      </c>
      <c r="P77" s="121">
        <f>amendment!K48</f>
        <v>-66</v>
      </c>
      <c r="Q77" s="121">
        <f>amendment!L48</f>
        <v>-67</v>
      </c>
      <c r="R77" s="121">
        <f>amendment!M48</f>
        <v>-66</v>
      </c>
      <c r="S77" s="121">
        <f>amendment!N48</f>
        <v>0</v>
      </c>
      <c r="T77" s="121">
        <f>amendment!O48</f>
        <v>0</v>
      </c>
      <c r="U77" s="121">
        <f>amendment!P48</f>
        <v>0</v>
      </c>
      <c r="V77" s="121"/>
      <c r="W77" s="121"/>
      <c r="X77" s="121"/>
      <c r="Y77" s="121"/>
      <c r="Z77" s="121"/>
      <c r="AA77" s="344"/>
      <c r="AB77" s="79"/>
      <c r="AC77" s="79"/>
      <c r="AD77" s="79"/>
      <c r="AE77" s="240"/>
      <c r="AW77" s="178"/>
    </row>
    <row r="78" spans="1:49" s="3" customFormat="1" x14ac:dyDescent="0.2">
      <c r="A78" s="3" t="s">
        <v>133</v>
      </c>
      <c r="B78" s="3" t="s">
        <v>122</v>
      </c>
      <c r="M78" s="3">
        <f>amendment!H49</f>
        <v>-145</v>
      </c>
      <c r="N78" s="3">
        <f>amendment!I49</f>
        <v>-145</v>
      </c>
      <c r="O78" s="3">
        <f>amendment!J49</f>
        <v>-146</v>
      </c>
      <c r="P78" s="121">
        <f>amendment!K49</f>
        <v>-146</v>
      </c>
      <c r="Q78" s="121">
        <f>amendment!L49</f>
        <v>-146</v>
      </c>
      <c r="R78" s="121">
        <f>amendment!M49</f>
        <v>-146</v>
      </c>
      <c r="S78" s="121">
        <f>amendment!N49</f>
        <v>-146</v>
      </c>
      <c r="T78" s="121">
        <f>amendment!O49</f>
        <v>-146</v>
      </c>
      <c r="U78" s="121">
        <f>amendment!P49</f>
        <v>0</v>
      </c>
      <c r="V78" s="121"/>
      <c r="W78" s="121"/>
      <c r="X78" s="121"/>
      <c r="Y78" s="121"/>
      <c r="Z78" s="121"/>
      <c r="AA78" s="344"/>
      <c r="AB78" s="79"/>
      <c r="AC78" s="79"/>
      <c r="AD78" s="79"/>
      <c r="AE78" s="240"/>
      <c r="AW78" s="178"/>
    </row>
    <row r="79" spans="1:49" s="3" customFormat="1" x14ac:dyDescent="0.2">
      <c r="A79" s="3" t="s">
        <v>134</v>
      </c>
      <c r="B79" s="3" t="s">
        <v>122</v>
      </c>
      <c r="M79" s="3">
        <f>amendment!H50</f>
        <v>-172</v>
      </c>
      <c r="N79" s="3">
        <f>amendment!I50</f>
        <v>-172</v>
      </c>
      <c r="O79" s="3">
        <f>amendment!J50</f>
        <v>-172</v>
      </c>
      <c r="P79" s="121">
        <f>amendment!K50</f>
        <v>-172</v>
      </c>
      <c r="Q79" s="121">
        <f>amendment!L50</f>
        <v>-172</v>
      </c>
      <c r="R79" s="121">
        <f>amendment!M50</f>
        <v>-172</v>
      </c>
      <c r="S79" s="121">
        <f>amendment!N50</f>
        <v>-172</v>
      </c>
      <c r="T79" s="121">
        <f>amendment!O50</f>
        <v>-171</v>
      </c>
      <c r="U79" s="121">
        <f>amendment!P50</f>
        <v>-171</v>
      </c>
      <c r="V79" s="121"/>
      <c r="W79" s="121"/>
      <c r="X79" s="121"/>
      <c r="Y79" s="121"/>
      <c r="Z79" s="121"/>
      <c r="AA79" s="344"/>
      <c r="AB79" s="79"/>
      <c r="AC79" s="79"/>
      <c r="AD79" s="79"/>
      <c r="AE79" s="240"/>
      <c r="AW79" s="178"/>
    </row>
    <row r="80" spans="1:49" s="3" customFormat="1" x14ac:dyDescent="0.2">
      <c r="A80" s="3" t="s">
        <v>135</v>
      </c>
      <c r="B80" s="3" t="s">
        <v>122</v>
      </c>
      <c r="M80" s="3">
        <f>amendment!H51</f>
        <v>-156</v>
      </c>
      <c r="N80" s="3">
        <f>amendment!I51</f>
        <v>-156</v>
      </c>
      <c r="O80" s="3">
        <f>amendment!J51</f>
        <v>-156</v>
      </c>
      <c r="P80" s="121">
        <f>amendment!K51</f>
        <v>-157</v>
      </c>
      <c r="Q80" s="121">
        <f>amendment!L51</f>
        <v>-157</v>
      </c>
      <c r="R80" s="121">
        <f>amendment!M51</f>
        <v>-157</v>
      </c>
      <c r="S80" s="121">
        <f>amendment!N51</f>
        <v>-157</v>
      </c>
      <c r="T80" s="121">
        <f>amendment!O51</f>
        <v>-157</v>
      </c>
      <c r="U80" s="121">
        <f>amendment!P51</f>
        <v>-157</v>
      </c>
      <c r="V80" s="121"/>
      <c r="W80" s="121"/>
      <c r="X80" s="121"/>
      <c r="Y80" s="121"/>
      <c r="Z80" s="121"/>
      <c r="AA80" s="344"/>
      <c r="AB80" s="79"/>
      <c r="AC80" s="79"/>
      <c r="AD80" s="79"/>
      <c r="AE80" s="240"/>
      <c r="AW80" s="178"/>
    </row>
    <row r="81" spans="1:49" s="3" customFormat="1" x14ac:dyDescent="0.2">
      <c r="C81" s="6"/>
      <c r="D81" s="6"/>
      <c r="E81" s="6"/>
      <c r="F81" s="6"/>
      <c r="G81" s="6"/>
      <c r="H81" s="6"/>
      <c r="I81" s="6"/>
      <c r="J81" s="6"/>
      <c r="K81" s="6"/>
      <c r="L81" s="6"/>
      <c r="M81" s="6"/>
      <c r="N81" s="6"/>
      <c r="O81" s="6"/>
      <c r="P81" s="125"/>
      <c r="Q81" s="125"/>
      <c r="R81" s="125"/>
      <c r="S81" s="125"/>
      <c r="T81" s="125"/>
      <c r="U81" s="125"/>
      <c r="V81" s="125"/>
      <c r="W81" s="125"/>
      <c r="X81" s="125"/>
      <c r="Y81" s="125"/>
      <c r="Z81" s="121"/>
      <c r="AA81" s="344"/>
      <c r="AB81" s="79"/>
      <c r="AC81" s="79"/>
      <c r="AD81" s="79"/>
      <c r="AE81" s="240"/>
      <c r="AW81" s="178"/>
    </row>
    <row r="82" spans="1:49" s="25" customFormat="1" x14ac:dyDescent="0.2">
      <c r="A82" s="25" t="s">
        <v>141</v>
      </c>
      <c r="B82" s="25" t="s">
        <v>31</v>
      </c>
      <c r="C82" s="26">
        <f t="shared" ref="C82:H82" si="59">SUM(C74:C81)</f>
        <v>0</v>
      </c>
      <c r="D82" s="26">
        <f t="shared" si="59"/>
        <v>0</v>
      </c>
      <c r="E82" s="26">
        <f t="shared" si="59"/>
        <v>0</v>
      </c>
      <c r="F82" s="26">
        <f t="shared" si="59"/>
        <v>0</v>
      </c>
      <c r="G82" s="26">
        <f t="shared" si="59"/>
        <v>0</v>
      </c>
      <c r="H82" s="26">
        <f t="shared" si="59"/>
        <v>-85</v>
      </c>
      <c r="I82" s="26">
        <f t="shared" ref="I82:AC82" si="60">SUM(I74:I81)</f>
        <v>-241</v>
      </c>
      <c r="J82" s="26">
        <f t="shared" si="60"/>
        <v>-241</v>
      </c>
      <c r="K82" s="26">
        <f t="shared" si="60"/>
        <v>-241</v>
      </c>
      <c r="L82" s="26">
        <f t="shared" si="60"/>
        <v>-241</v>
      </c>
      <c r="M82" s="26">
        <f t="shared" si="60"/>
        <v>-780</v>
      </c>
      <c r="N82" s="26">
        <f t="shared" si="60"/>
        <v>-780</v>
      </c>
      <c r="O82" s="26">
        <f t="shared" si="60"/>
        <v>-781</v>
      </c>
      <c r="P82" s="129">
        <f t="shared" si="60"/>
        <v>-782</v>
      </c>
      <c r="Q82" s="129">
        <f t="shared" si="60"/>
        <v>-671</v>
      </c>
      <c r="R82" s="129">
        <f t="shared" si="60"/>
        <v>-670</v>
      </c>
      <c r="S82" s="129">
        <f t="shared" si="60"/>
        <v>-475</v>
      </c>
      <c r="T82" s="129">
        <f t="shared" si="60"/>
        <v>-474</v>
      </c>
      <c r="U82" s="129">
        <f t="shared" si="60"/>
        <v>-328</v>
      </c>
      <c r="V82" s="129">
        <f t="shared" si="60"/>
        <v>0</v>
      </c>
      <c r="W82" s="129">
        <f t="shared" si="60"/>
        <v>0</v>
      </c>
      <c r="X82" s="129">
        <f t="shared" si="60"/>
        <v>0</v>
      </c>
      <c r="Y82" s="129">
        <f t="shared" si="60"/>
        <v>0</v>
      </c>
      <c r="Z82" s="129">
        <f t="shared" si="60"/>
        <v>0</v>
      </c>
      <c r="AA82" s="346">
        <f t="shared" si="60"/>
        <v>0</v>
      </c>
      <c r="AB82" s="83">
        <f t="shared" si="60"/>
        <v>0</v>
      </c>
      <c r="AC82" s="83">
        <f t="shared" si="60"/>
        <v>0</v>
      </c>
      <c r="AD82" s="83">
        <f t="shared" ref="AD82:AE82" si="61">SUM(AD74:AD81)</f>
        <v>0</v>
      </c>
      <c r="AE82" s="244">
        <f t="shared" si="61"/>
        <v>0</v>
      </c>
      <c r="AF82" s="39"/>
      <c r="AG82" s="39"/>
      <c r="AH82" s="39"/>
      <c r="AI82" s="39"/>
      <c r="AJ82" s="39"/>
      <c r="AK82" s="39"/>
      <c r="AL82" s="39"/>
      <c r="AM82" s="39"/>
      <c r="AW82" s="185"/>
    </row>
    <row r="84" spans="1:49" x14ac:dyDescent="0.2">
      <c r="A84" s="28" t="s">
        <v>142</v>
      </c>
    </row>
    <row r="85" spans="1:49" x14ac:dyDescent="0.2">
      <c r="A85" t="s">
        <v>143</v>
      </c>
      <c r="B85" t="s">
        <v>66</v>
      </c>
      <c r="C85" s="22">
        <f>+C69</f>
        <v>111</v>
      </c>
      <c r="D85" s="22">
        <f t="shared" ref="D85:Y85" si="62">+D69</f>
        <v>61</v>
      </c>
      <c r="E85" s="22">
        <f t="shared" si="62"/>
        <v>257</v>
      </c>
      <c r="F85" s="22">
        <f t="shared" si="62"/>
        <v>148</v>
      </c>
      <c r="G85" s="22">
        <f t="shared" si="62"/>
        <v>293</v>
      </c>
      <c r="H85" s="22">
        <f t="shared" si="62"/>
        <v>465</v>
      </c>
      <c r="I85" s="22">
        <f t="shared" si="62"/>
        <v>680</v>
      </c>
      <c r="J85" s="22">
        <f t="shared" si="62"/>
        <v>892</v>
      </c>
      <c r="K85" s="22">
        <f t="shared" si="62"/>
        <v>1211</v>
      </c>
      <c r="L85" s="22">
        <f t="shared" si="62"/>
        <v>1376</v>
      </c>
      <c r="M85" s="22">
        <f t="shared" si="62"/>
        <v>1250</v>
      </c>
      <c r="N85" s="22">
        <f t="shared" si="62"/>
        <v>1273</v>
      </c>
      <c r="O85" s="22">
        <f t="shared" si="62"/>
        <v>1225</v>
      </c>
      <c r="P85" s="106">
        <f t="shared" si="62"/>
        <v>1248</v>
      </c>
      <c r="Q85" s="106">
        <f t="shared" si="62"/>
        <v>1138</v>
      </c>
      <c r="R85" s="106">
        <f t="shared" si="62"/>
        <v>1140</v>
      </c>
      <c r="S85" s="106">
        <f t="shared" si="62"/>
        <v>1185</v>
      </c>
      <c r="T85" s="106">
        <f>+T69</f>
        <v>1587</v>
      </c>
      <c r="U85" s="106">
        <f t="shared" si="62"/>
        <v>1244</v>
      </c>
      <c r="V85" s="106">
        <f t="shared" si="62"/>
        <v>587</v>
      </c>
      <c r="W85" s="106">
        <f>+W69</f>
        <v>490</v>
      </c>
      <c r="X85" s="106">
        <f t="shared" si="62"/>
        <v>181</v>
      </c>
      <c r="Y85" s="106">
        <f t="shared" si="62"/>
        <v>-70</v>
      </c>
      <c r="Z85" s="106">
        <f t="shared" ref="Z85:AE85" si="63">+Z69</f>
        <v>312</v>
      </c>
      <c r="AA85" s="348">
        <f t="shared" si="63"/>
        <v>723</v>
      </c>
      <c r="AB85" s="85">
        <f t="shared" si="63"/>
        <v>1364</v>
      </c>
      <c r="AC85" s="85">
        <f t="shared" si="63"/>
        <v>1759</v>
      </c>
      <c r="AD85" s="85">
        <f t="shared" si="63"/>
        <v>2071</v>
      </c>
      <c r="AE85" s="246">
        <f t="shared" si="63"/>
        <v>2353</v>
      </c>
      <c r="AF85" s="22"/>
      <c r="AG85" s="22"/>
      <c r="AH85" s="22"/>
      <c r="AI85" s="22"/>
      <c r="AJ85" s="22"/>
      <c r="AK85" s="22"/>
      <c r="AL85" s="22"/>
      <c r="AM85" s="22"/>
    </row>
    <row r="86" spans="1:49" x14ac:dyDescent="0.2">
      <c r="A86" t="s">
        <v>144</v>
      </c>
      <c r="B86" t="s">
        <v>66</v>
      </c>
      <c r="C86" s="38">
        <f>+C82</f>
        <v>0</v>
      </c>
      <c r="D86" s="38">
        <f t="shared" ref="D86:Y86" si="64">+D82</f>
        <v>0</v>
      </c>
      <c r="E86" s="38">
        <f t="shared" si="64"/>
        <v>0</v>
      </c>
      <c r="F86" s="38">
        <f t="shared" si="64"/>
        <v>0</v>
      </c>
      <c r="G86" s="38">
        <f t="shared" si="64"/>
        <v>0</v>
      </c>
      <c r="H86" s="38">
        <f t="shared" si="64"/>
        <v>-85</v>
      </c>
      <c r="I86" s="38">
        <f t="shared" si="64"/>
        <v>-241</v>
      </c>
      <c r="J86" s="38">
        <f t="shared" si="64"/>
        <v>-241</v>
      </c>
      <c r="K86" s="38">
        <f t="shared" si="64"/>
        <v>-241</v>
      </c>
      <c r="L86" s="38">
        <f t="shared" si="64"/>
        <v>-241</v>
      </c>
      <c r="M86" s="38">
        <f t="shared" si="64"/>
        <v>-780</v>
      </c>
      <c r="N86" s="38">
        <f t="shared" si="64"/>
        <v>-780</v>
      </c>
      <c r="O86" s="38">
        <f t="shared" si="64"/>
        <v>-781</v>
      </c>
      <c r="P86" s="137">
        <f t="shared" si="64"/>
        <v>-782</v>
      </c>
      <c r="Q86" s="137">
        <f t="shared" si="64"/>
        <v>-671</v>
      </c>
      <c r="R86" s="137">
        <f t="shared" si="64"/>
        <v>-670</v>
      </c>
      <c r="S86" s="137">
        <f t="shared" si="64"/>
        <v>-475</v>
      </c>
      <c r="T86" s="137">
        <f t="shared" si="64"/>
        <v>-474</v>
      </c>
      <c r="U86" s="137">
        <f t="shared" si="64"/>
        <v>-328</v>
      </c>
      <c r="V86" s="137">
        <f t="shared" si="64"/>
        <v>0</v>
      </c>
      <c r="W86" s="137">
        <f t="shared" si="64"/>
        <v>0</v>
      </c>
      <c r="X86" s="137">
        <f t="shared" si="64"/>
        <v>0</v>
      </c>
      <c r="Y86" s="137">
        <f t="shared" si="64"/>
        <v>0</v>
      </c>
      <c r="Z86" s="137">
        <f t="shared" ref="Z86:AE86" si="65">+Z82</f>
        <v>0</v>
      </c>
      <c r="AA86" s="355">
        <f t="shared" si="65"/>
        <v>0</v>
      </c>
      <c r="AB86" s="92">
        <f t="shared" si="65"/>
        <v>0</v>
      </c>
      <c r="AC86" s="92">
        <f t="shared" si="65"/>
        <v>0</v>
      </c>
      <c r="AD86" s="92">
        <f t="shared" si="65"/>
        <v>0</v>
      </c>
      <c r="AE86" s="254">
        <f t="shared" si="65"/>
        <v>0</v>
      </c>
      <c r="AF86" s="74"/>
      <c r="AG86" s="74"/>
      <c r="AH86" s="74"/>
      <c r="AI86" s="74"/>
      <c r="AJ86" s="74"/>
      <c r="AK86" s="74"/>
      <c r="AL86" s="74"/>
      <c r="AM86" s="74"/>
    </row>
    <row r="87" spans="1:49" s="18" customFormat="1" ht="16.5" thickBot="1" x14ac:dyDescent="0.3">
      <c r="A87" s="18" t="s">
        <v>136</v>
      </c>
      <c r="C87" s="27">
        <f>SUM(C85:C86)</f>
        <v>111</v>
      </c>
      <c r="D87" s="27">
        <f t="shared" ref="D87:AC87" si="66">SUM(D85:D86)</f>
        <v>61</v>
      </c>
      <c r="E87" s="27">
        <f t="shared" si="66"/>
        <v>257</v>
      </c>
      <c r="F87" s="27">
        <f t="shared" si="66"/>
        <v>148</v>
      </c>
      <c r="G87" s="27">
        <f t="shared" si="66"/>
        <v>293</v>
      </c>
      <c r="H87" s="27">
        <f t="shared" si="66"/>
        <v>380</v>
      </c>
      <c r="I87" s="27">
        <f t="shared" si="66"/>
        <v>439</v>
      </c>
      <c r="J87" s="27">
        <f t="shared" si="66"/>
        <v>651</v>
      </c>
      <c r="K87" s="27">
        <f t="shared" si="66"/>
        <v>970</v>
      </c>
      <c r="L87" s="27">
        <f t="shared" si="66"/>
        <v>1135</v>
      </c>
      <c r="M87" s="27">
        <f t="shared" si="66"/>
        <v>470</v>
      </c>
      <c r="N87" s="27">
        <f t="shared" si="66"/>
        <v>493</v>
      </c>
      <c r="O87" s="27">
        <f t="shared" si="66"/>
        <v>444</v>
      </c>
      <c r="P87" s="138">
        <f t="shared" si="66"/>
        <v>466</v>
      </c>
      <c r="Q87" s="138">
        <f t="shared" si="66"/>
        <v>467</v>
      </c>
      <c r="R87" s="138">
        <f t="shared" si="66"/>
        <v>470</v>
      </c>
      <c r="S87" s="138">
        <f t="shared" si="66"/>
        <v>710</v>
      </c>
      <c r="T87" s="138">
        <f>SUM(T85:T86)</f>
        <v>1113</v>
      </c>
      <c r="U87" s="138">
        <f t="shared" si="66"/>
        <v>916</v>
      </c>
      <c r="V87" s="138">
        <f t="shared" si="66"/>
        <v>587</v>
      </c>
      <c r="W87" s="138">
        <f t="shared" si="66"/>
        <v>490</v>
      </c>
      <c r="X87" s="138">
        <f t="shared" si="66"/>
        <v>181</v>
      </c>
      <c r="Y87" s="138">
        <f t="shared" si="66"/>
        <v>-70</v>
      </c>
      <c r="Z87" s="138">
        <f t="shared" si="66"/>
        <v>312</v>
      </c>
      <c r="AA87" s="356">
        <f t="shared" si="66"/>
        <v>723</v>
      </c>
      <c r="AB87" s="93">
        <f t="shared" si="66"/>
        <v>1364</v>
      </c>
      <c r="AC87" s="93">
        <f t="shared" si="66"/>
        <v>1759</v>
      </c>
      <c r="AD87" s="93">
        <f t="shared" ref="AD87:AE87" si="67">SUM(AD85:AD86)</f>
        <v>2071</v>
      </c>
      <c r="AE87" s="255">
        <f t="shared" si="67"/>
        <v>2353</v>
      </c>
      <c r="AF87" s="75"/>
      <c r="AG87" s="75"/>
      <c r="AH87" s="75"/>
      <c r="AI87" s="75"/>
      <c r="AJ87" s="75"/>
      <c r="AK87" s="75"/>
      <c r="AL87" s="75"/>
      <c r="AM87" s="75"/>
      <c r="AW87" s="177"/>
    </row>
    <row r="88" spans="1:49" ht="13.5" thickTop="1" x14ac:dyDescent="0.2"/>
    <row r="90" spans="1:49" x14ac:dyDescent="0.2">
      <c r="A90" s="28" t="s">
        <v>145</v>
      </c>
    </row>
    <row r="91" spans="1:49" x14ac:dyDescent="0.2">
      <c r="A91" t="s">
        <v>147</v>
      </c>
      <c r="C91" s="22">
        <f t="shared" ref="C91:M91" si="68">+C37</f>
        <v>1554.4300000000003</v>
      </c>
      <c r="D91" s="22">
        <f t="shared" si="68"/>
        <v>858.42250000000058</v>
      </c>
      <c r="E91" s="22">
        <f t="shared" si="68"/>
        <v>3601.5162499999969</v>
      </c>
      <c r="F91" s="22">
        <f t="shared" si="68"/>
        <v>2070.3037499999955</v>
      </c>
      <c r="G91" s="22">
        <f t="shared" si="68"/>
        <v>4106.6912499999999</v>
      </c>
      <c r="H91" s="22">
        <f t="shared" si="68"/>
        <v>6512.3662500000028</v>
      </c>
      <c r="I91" s="22">
        <f t="shared" si="68"/>
        <v>9312.8549999999996</v>
      </c>
      <c r="J91" s="22">
        <f t="shared" si="68"/>
        <v>12065.997500000001</v>
      </c>
      <c r="K91" s="22">
        <f t="shared" si="68"/>
        <v>16532.279999999995</v>
      </c>
      <c r="L91" s="22">
        <f t="shared" si="68"/>
        <v>18847.434999999994</v>
      </c>
      <c r="M91" s="22">
        <f t="shared" si="68"/>
        <v>17208.714999999993</v>
      </c>
      <c r="N91" s="22">
        <f t="shared" ref="N91:S91" si="69">+N37</f>
        <v>17489.434999999994</v>
      </c>
      <c r="O91" s="22">
        <f t="shared" si="69"/>
        <v>16866.274999999991</v>
      </c>
      <c r="P91" s="106">
        <f t="shared" si="69"/>
        <v>17163.049999999985</v>
      </c>
      <c r="Q91" s="106">
        <f t="shared" si="69"/>
        <v>16560.599999999988</v>
      </c>
      <c r="R91" s="106">
        <f t="shared" si="69"/>
        <v>19820.149999999991</v>
      </c>
      <c r="S91" s="106">
        <f t="shared" si="69"/>
        <v>23875.801249999986</v>
      </c>
      <c r="T91" s="106">
        <f t="shared" ref="T91:Y91" si="70">+T37</f>
        <v>21102.976249999989</v>
      </c>
      <c r="U91" s="106">
        <f t="shared" si="70"/>
        <v>17337.679999999989</v>
      </c>
      <c r="V91" s="106">
        <f>+V37</f>
        <v>18915.935353428558</v>
      </c>
      <c r="W91" s="106">
        <f>+W37</f>
        <v>14565.11210442855</v>
      </c>
      <c r="X91" s="106">
        <f t="shared" si="70"/>
        <v>15568.941333450868</v>
      </c>
      <c r="Y91" s="106">
        <f t="shared" si="70"/>
        <v>21674.312070450858</v>
      </c>
      <c r="Z91" s="106">
        <f t="shared" ref="Z91:AE91" si="71">+Z37</f>
        <v>27915.146620450872</v>
      </c>
      <c r="AA91" s="348">
        <f t="shared" si="71"/>
        <v>37009.558623450896</v>
      </c>
      <c r="AB91" s="85">
        <f t="shared" si="71"/>
        <v>43388.298907988137</v>
      </c>
      <c r="AC91" s="85">
        <f t="shared" si="71"/>
        <v>48157.794516604292</v>
      </c>
      <c r="AD91" s="85">
        <f t="shared" si="71"/>
        <v>51749.756768374515</v>
      </c>
      <c r="AE91" s="246">
        <f t="shared" si="71"/>
        <v>53875.493050398989</v>
      </c>
    </row>
    <row r="92" spans="1:49" x14ac:dyDescent="0.2">
      <c r="A92" t="s">
        <v>149</v>
      </c>
      <c r="C92" s="22">
        <f>-SUM($C$69:C69)</f>
        <v>-111</v>
      </c>
      <c r="D92" s="22">
        <f>-SUM($C$69:D69)</f>
        <v>-172</v>
      </c>
      <c r="E92" s="22">
        <f>-SUM($C$69:E69)</f>
        <v>-429</v>
      </c>
      <c r="F92" s="22">
        <f>-SUM($C$69:F69)</f>
        <v>-577</v>
      </c>
      <c r="G92" s="22">
        <f>-SUM($C$69:G69)</f>
        <v>-870</v>
      </c>
      <c r="H92" s="22">
        <f>-SUM($C$69:H69)</f>
        <v>-1335</v>
      </c>
      <c r="I92" s="22">
        <f>-SUM($C$69:I69)</f>
        <v>-2015</v>
      </c>
      <c r="J92" s="22">
        <f>-SUM($C$69:J69)</f>
        <v>-2907</v>
      </c>
      <c r="K92" s="22">
        <f>-SUM($C$69:K69)</f>
        <v>-4118</v>
      </c>
      <c r="L92" s="22">
        <f>-SUM($C$69:L69)</f>
        <v>-5494</v>
      </c>
      <c r="M92" s="22">
        <f>-SUM($C$69:M69)-1</f>
        <v>-6745</v>
      </c>
      <c r="N92" s="22">
        <f>-SUM($C$69:N69)</f>
        <v>-8017</v>
      </c>
      <c r="O92" s="22">
        <f>-SUM($C$69:O69)</f>
        <v>-9242</v>
      </c>
      <c r="P92" s="106">
        <f>-SUM($C$69:P69)</f>
        <v>-10490</v>
      </c>
      <c r="Q92" s="106">
        <f>-SUM($C$69:Q69)</f>
        <v>-11628</v>
      </c>
      <c r="R92" s="106">
        <f>-SUM($C$69:R69)</f>
        <v>-12768</v>
      </c>
      <c r="S92" s="106">
        <f>-SUM($C$69:S69)</f>
        <v>-13953</v>
      </c>
      <c r="T92" s="106">
        <f>-SUM($C$69:T69)</f>
        <v>-15540</v>
      </c>
      <c r="U92" s="106">
        <f>-SUM($C$69:U69)</f>
        <v>-16784</v>
      </c>
      <c r="V92" s="106">
        <f>-SUM($C$69:V69)</f>
        <v>-17371</v>
      </c>
      <c r="W92" s="106">
        <f>-SUM($C$69:W69)</f>
        <v>-17861</v>
      </c>
      <c r="X92" s="106">
        <f>-SUM($C$69:X69)</f>
        <v>-18042</v>
      </c>
      <c r="Y92" s="106">
        <f>-SUM($C$69:Y69)</f>
        <v>-17972</v>
      </c>
      <c r="Z92" s="106">
        <f>-SUM($C$69:Z69)</f>
        <v>-18284</v>
      </c>
      <c r="AA92" s="348">
        <f>-SUM($C$69:AA69)</f>
        <v>-19007</v>
      </c>
      <c r="AB92" s="85">
        <f>-SUM($C$69:AB69)</f>
        <v>-20371</v>
      </c>
      <c r="AC92" s="85">
        <f>-SUM($C$69:AC69)</f>
        <v>-22130</v>
      </c>
      <c r="AD92" s="85">
        <f>-SUM($C$69:AD69)</f>
        <v>-24201</v>
      </c>
      <c r="AE92" s="246">
        <f>-SUM($C$69:AE69)</f>
        <v>-26554</v>
      </c>
    </row>
    <row r="93" spans="1:49" x14ac:dyDescent="0.2">
      <c r="A93" t="s">
        <v>150</v>
      </c>
      <c r="C93" s="22">
        <f>-SUM($C$71:C71)</f>
        <v>0</v>
      </c>
      <c r="D93" s="22">
        <f>-SUM($C$71:D71)</f>
        <v>0</v>
      </c>
      <c r="E93" s="22">
        <f>-SUM($C$71:E71)</f>
        <v>0</v>
      </c>
      <c r="F93" s="22">
        <f>-SUM($C$71:F71)</f>
        <v>0</v>
      </c>
      <c r="G93" s="22">
        <f>-SUM($C$71:G71)</f>
        <v>0</v>
      </c>
      <c r="H93" s="22">
        <f>-SUM($C$71:H71)</f>
        <v>-758</v>
      </c>
      <c r="I93" s="22">
        <f>-SUM($C$71:I71)</f>
        <v>-2271</v>
      </c>
      <c r="J93" s="22">
        <f>-SUM($C$71:J71)</f>
        <v>-2271</v>
      </c>
      <c r="K93" s="22">
        <f>-SUM($C$71:K71)</f>
        <v>-2271</v>
      </c>
      <c r="L93" s="22">
        <f>-SUM($C$71:L71)</f>
        <v>-2271</v>
      </c>
      <c r="M93" s="22">
        <f>-SUM($C$71:M71)</f>
        <v>-6790</v>
      </c>
      <c r="N93" s="22">
        <f>-SUM($C$71:N71)</f>
        <v>-6790</v>
      </c>
      <c r="O93" s="22">
        <f>-SUM($C$71:O71)</f>
        <v>-6790</v>
      </c>
      <c r="P93" s="106">
        <f>-SUM($C$71:P71)</f>
        <v>-6790</v>
      </c>
      <c r="Q93" s="106">
        <f>-SUM($C$71:Q71)</f>
        <v>-6790</v>
      </c>
      <c r="R93" s="106">
        <f>-SUM($C$71:R71)</f>
        <v>-6790</v>
      </c>
      <c r="S93" s="106">
        <f>-SUM($C$71:S71)</f>
        <v>-6790</v>
      </c>
      <c r="T93" s="106">
        <f>-SUM($C$71:T71)</f>
        <v>-6790</v>
      </c>
      <c r="U93" s="106">
        <f>-SUM($C$71:U71)</f>
        <v>-6790</v>
      </c>
      <c r="V93" s="106">
        <f>-SUM($C$71:V71)</f>
        <v>-6790</v>
      </c>
      <c r="W93" s="106">
        <f>-SUM($C$71:W71)</f>
        <v>-6790</v>
      </c>
      <c r="X93" s="106">
        <f>-SUM($C$71:X71)</f>
        <v>-6790</v>
      </c>
      <c r="Y93" s="106">
        <f>-SUM($C$71:Y71)</f>
        <v>-6790</v>
      </c>
      <c r="Z93" s="106">
        <f>-SUM($C$71:Z71)</f>
        <v>-6790</v>
      </c>
      <c r="AA93" s="348">
        <f>-SUM($C$71:AA71)</f>
        <v>-6790</v>
      </c>
      <c r="AB93" s="85">
        <f>-SUM($C$71:AB71)</f>
        <v>-6790</v>
      </c>
      <c r="AC93" s="85">
        <f>-SUM($C$71:AC71)</f>
        <v>-6790</v>
      </c>
      <c r="AD93" s="85">
        <f>-SUM($C$71:AD71)</f>
        <v>-6790</v>
      </c>
      <c r="AE93" s="246">
        <f>-SUM($C$71:AE71)</f>
        <v>-6790</v>
      </c>
    </row>
    <row r="94" spans="1:49" x14ac:dyDescent="0.2">
      <c r="A94" t="s">
        <v>151</v>
      </c>
      <c r="C94" s="38">
        <f>-C71</f>
        <v>0</v>
      </c>
      <c r="D94" s="38">
        <f>-SUM($C$82:D82)</f>
        <v>0</v>
      </c>
      <c r="E94" s="38">
        <f>-SUM($C$82:E82)</f>
        <v>0</v>
      </c>
      <c r="F94" s="38">
        <f>-SUM($C$82:F82)</f>
        <v>0</v>
      </c>
      <c r="G94" s="38">
        <f>-SUM($C$82:G82)</f>
        <v>0</v>
      </c>
      <c r="H94" s="38">
        <f>-SUM($C$82:H82)</f>
        <v>85</v>
      </c>
      <c r="I94" s="38">
        <f>-SUM($C$82:I82)</f>
        <v>326</v>
      </c>
      <c r="J94" s="38">
        <f>-SUM($C$82:J82)</f>
        <v>567</v>
      </c>
      <c r="K94" s="38">
        <f>-SUM($C$82:K82)</f>
        <v>808</v>
      </c>
      <c r="L94" s="38">
        <f>-SUM($C$82:L82)</f>
        <v>1049</v>
      </c>
      <c r="M94" s="38">
        <f>-SUM($C$82:M82)</f>
        <v>1829</v>
      </c>
      <c r="N94" s="38">
        <f>-SUM($C$82:N82)</f>
        <v>2609</v>
      </c>
      <c r="O94" s="38">
        <f>-SUM($C$82:O82)</f>
        <v>3390</v>
      </c>
      <c r="P94" s="137">
        <f>-SUM($C$82:P82)</f>
        <v>4172</v>
      </c>
      <c r="Q94" s="137">
        <f>-SUM($C$82:Q82)</f>
        <v>4843</v>
      </c>
      <c r="R94" s="137">
        <f>-SUM($C$82:R82)</f>
        <v>5513</v>
      </c>
      <c r="S94" s="137">
        <f>-SUM($C$82:S82)</f>
        <v>5988</v>
      </c>
      <c r="T94" s="137">
        <f>-SUM($C$82:T82)</f>
        <v>6462</v>
      </c>
      <c r="U94" s="137">
        <f>-SUM($C$82:U82)</f>
        <v>6790</v>
      </c>
      <c r="V94" s="137">
        <f>-SUM($C$82:V82)</f>
        <v>6790</v>
      </c>
      <c r="W94" s="137">
        <f>-SUM($C$82:W82)</f>
        <v>6790</v>
      </c>
      <c r="X94" s="137">
        <f>-SUM($C$82:X82)</f>
        <v>6790</v>
      </c>
      <c r="Y94" s="137">
        <f>-SUM($C$82:Y82)</f>
        <v>6790</v>
      </c>
      <c r="Z94" s="137">
        <f>-SUM($C$82:Z82)</f>
        <v>6790</v>
      </c>
      <c r="AA94" s="355">
        <f>-SUM($C$82:AA82)</f>
        <v>6790</v>
      </c>
      <c r="AB94" s="92">
        <f>-SUM($C$82:AB82)</f>
        <v>6790</v>
      </c>
      <c r="AC94" s="92">
        <f>-SUM($C$82:AC82)</f>
        <v>6790</v>
      </c>
      <c r="AD94" s="92">
        <f>-SUM($C$82:AD82)</f>
        <v>6790</v>
      </c>
      <c r="AE94" s="254">
        <f>-SUM($C$82:AE82)</f>
        <v>6790</v>
      </c>
    </row>
    <row r="95" spans="1:49" s="18" customFormat="1" ht="16.5" thickBot="1" x14ac:dyDescent="0.3">
      <c r="A95" s="18" t="s">
        <v>148</v>
      </c>
      <c r="C95" s="27">
        <f t="shared" ref="C95:P95" si="72">SUM(C91:C94)</f>
        <v>1443.4300000000003</v>
      </c>
      <c r="D95" s="27">
        <f t="shared" si="72"/>
        <v>686.42250000000058</v>
      </c>
      <c r="E95" s="27">
        <f t="shared" si="72"/>
        <v>3172.5162499999969</v>
      </c>
      <c r="F95" s="27">
        <f t="shared" si="72"/>
        <v>1493.3037499999955</v>
      </c>
      <c r="G95" s="27">
        <f t="shared" si="72"/>
        <v>3236.6912499999999</v>
      </c>
      <c r="H95" s="27">
        <f t="shared" si="72"/>
        <v>4504.3662500000028</v>
      </c>
      <c r="I95" s="27">
        <f t="shared" si="72"/>
        <v>5352.8549999999996</v>
      </c>
      <c r="J95" s="27">
        <f t="shared" si="72"/>
        <v>7454.9975000000013</v>
      </c>
      <c r="K95" s="27">
        <f t="shared" si="72"/>
        <v>10951.279999999995</v>
      </c>
      <c r="L95" s="27">
        <f t="shared" si="72"/>
        <v>12131.434999999994</v>
      </c>
      <c r="M95" s="27">
        <f t="shared" si="72"/>
        <v>5502.7149999999929</v>
      </c>
      <c r="N95" s="27">
        <f t="shared" si="72"/>
        <v>5291.434999999994</v>
      </c>
      <c r="O95" s="27">
        <f t="shared" si="72"/>
        <v>4224.2749999999905</v>
      </c>
      <c r="P95" s="138">
        <f t="shared" si="72"/>
        <v>4055.0499999999847</v>
      </c>
      <c r="Q95" s="138">
        <f t="shared" ref="Q95:AC95" si="73">SUM(Q91:Q94)</f>
        <v>2985.5999999999876</v>
      </c>
      <c r="R95" s="138">
        <f t="shared" si="73"/>
        <v>5775.1499999999905</v>
      </c>
      <c r="S95" s="138">
        <f t="shared" si="73"/>
        <v>9120.8012499999859</v>
      </c>
      <c r="T95" s="138">
        <f t="shared" si="73"/>
        <v>5234.9762499999888</v>
      </c>
      <c r="U95" s="138">
        <f t="shared" si="73"/>
        <v>553.67999999998938</v>
      </c>
      <c r="V95" s="138">
        <f t="shared" si="73"/>
        <v>1544.9353534285583</v>
      </c>
      <c r="W95" s="138">
        <f t="shared" si="73"/>
        <v>-3295.8878955714499</v>
      </c>
      <c r="X95" s="138">
        <f t="shared" si="73"/>
        <v>-2473.0586665491319</v>
      </c>
      <c r="Y95" s="138">
        <f t="shared" si="73"/>
        <v>3702.3120704508583</v>
      </c>
      <c r="Z95" s="138">
        <f t="shared" si="73"/>
        <v>9631.1466204508724</v>
      </c>
      <c r="AA95" s="356">
        <f t="shared" si="73"/>
        <v>18002.558623450896</v>
      </c>
      <c r="AB95" s="93">
        <f t="shared" si="73"/>
        <v>23017.298907988137</v>
      </c>
      <c r="AC95" s="93">
        <f t="shared" si="73"/>
        <v>26027.794516604292</v>
      </c>
      <c r="AD95" s="93">
        <f t="shared" ref="AD95:AE95" si="74">SUM(AD91:AD94)</f>
        <v>27548.756768374515</v>
      </c>
      <c r="AE95" s="255">
        <f t="shared" si="74"/>
        <v>27321.493050398989</v>
      </c>
      <c r="AW95" s="177"/>
    </row>
    <row r="96" spans="1:49" ht="13.5" thickTop="1" x14ac:dyDescent="0.2"/>
    <row r="97" spans="1:31" x14ac:dyDescent="0.2">
      <c r="A97" s="2" t="s">
        <v>298</v>
      </c>
    </row>
    <row r="98" spans="1:31" x14ac:dyDescent="0.2">
      <c r="A98" t="s">
        <v>299</v>
      </c>
      <c r="C98" s="22"/>
      <c r="D98" s="22">
        <f>C102</f>
        <v>1443.4300000000003</v>
      </c>
      <c r="E98" s="22">
        <f t="shared" ref="E98:M98" si="75">D102</f>
        <v>686.42250000000058</v>
      </c>
      <c r="F98" s="22">
        <f t="shared" si="75"/>
        <v>3172.5162499999969</v>
      </c>
      <c r="G98" s="22">
        <f t="shared" si="75"/>
        <v>1493.3037499999955</v>
      </c>
      <c r="H98" s="22">
        <f t="shared" si="75"/>
        <v>3236.6912499999999</v>
      </c>
      <c r="I98" s="22">
        <f t="shared" si="75"/>
        <v>4504.3662500000028</v>
      </c>
      <c r="J98" s="22">
        <f t="shared" si="75"/>
        <v>5352.8549999999996</v>
      </c>
      <c r="K98" s="22">
        <f t="shared" si="75"/>
        <v>7454.9975000000013</v>
      </c>
      <c r="L98" s="22">
        <f t="shared" si="75"/>
        <v>10951.279999999995</v>
      </c>
      <c r="M98" s="22">
        <f t="shared" si="75"/>
        <v>12131.434999999994</v>
      </c>
      <c r="N98" s="22">
        <f t="shared" ref="N98:AE98" si="76">M102</f>
        <v>5503.7149999999929</v>
      </c>
      <c r="O98" s="22">
        <f t="shared" si="76"/>
        <v>5291.434999999994</v>
      </c>
      <c r="P98" s="106">
        <f t="shared" si="76"/>
        <v>4224.2749999999905</v>
      </c>
      <c r="Q98" s="106">
        <f t="shared" si="76"/>
        <v>4055.0499999999847</v>
      </c>
      <c r="R98" s="106">
        <f t="shared" si="76"/>
        <v>2985.5999999999876</v>
      </c>
      <c r="S98" s="106">
        <f t="shared" si="76"/>
        <v>5775.1499999999905</v>
      </c>
      <c r="T98" s="106">
        <f>S102</f>
        <v>9120.8012499999859</v>
      </c>
      <c r="U98" s="106">
        <f t="shared" si="76"/>
        <v>5234.9762499999888</v>
      </c>
      <c r="V98" s="106">
        <f t="shared" si="76"/>
        <v>553.67999999998938</v>
      </c>
      <c r="W98" s="106">
        <f t="shared" si="76"/>
        <v>1544.9353534285583</v>
      </c>
      <c r="X98" s="106">
        <f t="shared" si="76"/>
        <v>-3295.8878955714499</v>
      </c>
      <c r="Y98" s="106">
        <f t="shared" si="76"/>
        <v>-2473.0586665491319</v>
      </c>
      <c r="Z98" s="106">
        <f t="shared" si="76"/>
        <v>3702.3120704508583</v>
      </c>
      <c r="AA98" s="348">
        <f t="shared" si="76"/>
        <v>9631.1466204508724</v>
      </c>
      <c r="AB98" s="85">
        <f t="shared" si="76"/>
        <v>18002.558623450892</v>
      </c>
      <c r="AC98" s="85">
        <f t="shared" si="76"/>
        <v>23017.298907988134</v>
      </c>
      <c r="AD98" s="85">
        <f t="shared" si="76"/>
        <v>26027.794516604288</v>
      </c>
      <c r="AE98" s="246">
        <f t="shared" si="76"/>
        <v>27548.756768374511</v>
      </c>
    </row>
    <row r="99" spans="1:31" x14ac:dyDescent="0.2">
      <c r="A99" t="s">
        <v>300</v>
      </c>
      <c r="C99" s="22">
        <f>-C87</f>
        <v>-111</v>
      </c>
      <c r="D99" s="22">
        <f>-D87</f>
        <v>-61</v>
      </c>
      <c r="E99" s="22">
        <f t="shared" ref="E99:N99" si="77">-E87</f>
        <v>-257</v>
      </c>
      <c r="F99" s="22">
        <f t="shared" si="77"/>
        <v>-148</v>
      </c>
      <c r="G99" s="22">
        <f t="shared" si="77"/>
        <v>-293</v>
      </c>
      <c r="H99" s="22">
        <f t="shared" si="77"/>
        <v>-380</v>
      </c>
      <c r="I99" s="22">
        <f t="shared" si="77"/>
        <v>-439</v>
      </c>
      <c r="J99" s="22">
        <f t="shared" si="77"/>
        <v>-651</v>
      </c>
      <c r="K99" s="22">
        <f t="shared" si="77"/>
        <v>-970</v>
      </c>
      <c r="L99" s="22">
        <f t="shared" si="77"/>
        <v>-1135</v>
      </c>
      <c r="M99" s="22">
        <f t="shared" si="77"/>
        <v>-470</v>
      </c>
      <c r="N99" s="22">
        <f t="shared" si="77"/>
        <v>-493</v>
      </c>
      <c r="O99" s="22">
        <f>-O87</f>
        <v>-444</v>
      </c>
      <c r="P99" s="106">
        <f>-P87</f>
        <v>-466</v>
      </c>
      <c r="Q99" s="106">
        <f>-Q87</f>
        <v>-467</v>
      </c>
      <c r="R99" s="106">
        <f>-R87</f>
        <v>-470</v>
      </c>
      <c r="S99" s="106">
        <f>-S87</f>
        <v>-710</v>
      </c>
      <c r="T99" s="106">
        <f t="shared" ref="T99:Y99" si="78">-T87</f>
        <v>-1113</v>
      </c>
      <c r="U99" s="106">
        <f t="shared" si="78"/>
        <v>-916</v>
      </c>
      <c r="V99" s="106">
        <f t="shared" si="78"/>
        <v>-587</v>
      </c>
      <c r="W99" s="106">
        <f t="shared" si="78"/>
        <v>-490</v>
      </c>
      <c r="X99" s="106">
        <f t="shared" si="78"/>
        <v>-181</v>
      </c>
      <c r="Y99" s="106">
        <f t="shared" si="78"/>
        <v>70</v>
      </c>
      <c r="Z99" s="106">
        <f t="shared" ref="Z99:AE99" si="79">-Z87</f>
        <v>-312</v>
      </c>
      <c r="AA99" s="348">
        <f t="shared" si="79"/>
        <v>-723</v>
      </c>
      <c r="AB99" s="85">
        <f t="shared" si="79"/>
        <v>-1364</v>
      </c>
      <c r="AC99" s="85">
        <f t="shared" si="79"/>
        <v>-1759</v>
      </c>
      <c r="AD99" s="85">
        <f t="shared" si="79"/>
        <v>-2071</v>
      </c>
      <c r="AE99" s="246">
        <f t="shared" si="79"/>
        <v>-2353</v>
      </c>
    </row>
    <row r="100" spans="1:31" x14ac:dyDescent="0.2">
      <c r="A100" t="s">
        <v>301</v>
      </c>
      <c r="C100" s="22">
        <f>C33</f>
        <v>1554.4300000000003</v>
      </c>
      <c r="D100" s="22">
        <f>D33</f>
        <v>-696.00749999999971</v>
      </c>
      <c r="E100" s="22">
        <f t="shared" ref="E100:N100" si="80">E33</f>
        <v>2743.0937499999964</v>
      </c>
      <c r="F100" s="22">
        <f t="shared" si="80"/>
        <v>-1531.2125000000015</v>
      </c>
      <c r="G100" s="22">
        <f t="shared" si="80"/>
        <v>2036.3875000000044</v>
      </c>
      <c r="H100" s="22">
        <f t="shared" si="80"/>
        <v>2405.6750000000029</v>
      </c>
      <c r="I100" s="22">
        <f t="shared" si="80"/>
        <v>2800.4887499999968</v>
      </c>
      <c r="J100" s="22">
        <f t="shared" si="80"/>
        <v>2753.1425000000017</v>
      </c>
      <c r="K100" s="22">
        <f t="shared" si="80"/>
        <v>4466.2824999999939</v>
      </c>
      <c r="L100" s="22">
        <f t="shared" si="80"/>
        <v>2315.1549999999988</v>
      </c>
      <c r="M100" s="22">
        <f t="shared" si="80"/>
        <v>-1638.7200000000012</v>
      </c>
      <c r="N100" s="22">
        <f t="shared" si="80"/>
        <v>280.72000000000116</v>
      </c>
      <c r="O100" s="22">
        <f>O33</f>
        <v>-623.16000000000349</v>
      </c>
      <c r="P100" s="106">
        <f>P33</f>
        <v>296.77499999999418</v>
      </c>
      <c r="Q100" s="106">
        <f>Q33</f>
        <v>-602.44999999999709</v>
      </c>
      <c r="R100" s="106">
        <f>R33</f>
        <v>3259.5500000000029</v>
      </c>
      <c r="S100" s="106">
        <f>S33</f>
        <v>4055.6512499999953</v>
      </c>
      <c r="T100" s="106">
        <f t="shared" ref="T100:Y100" si="81">T33</f>
        <v>-2772.8249999999971</v>
      </c>
      <c r="U100" s="106">
        <f t="shared" si="81"/>
        <v>-3765.2962499999994</v>
      </c>
      <c r="V100" s="106">
        <f t="shared" si="81"/>
        <v>1578.2553534285689</v>
      </c>
      <c r="W100" s="106">
        <f t="shared" si="81"/>
        <v>-4350.8232490000082</v>
      </c>
      <c r="X100" s="106">
        <f t="shared" si="81"/>
        <v>1003.829229022318</v>
      </c>
      <c r="Y100" s="106">
        <f t="shared" si="81"/>
        <v>6105.3707369999902</v>
      </c>
      <c r="Z100" s="106">
        <f t="shared" ref="Z100:AE100" si="82">Z33</f>
        <v>6240.8345500000141</v>
      </c>
      <c r="AA100" s="348">
        <f t="shared" si="82"/>
        <v>9094.4120030000195</v>
      </c>
      <c r="AB100" s="85">
        <f t="shared" si="82"/>
        <v>6378.7402845372417</v>
      </c>
      <c r="AC100" s="85">
        <f t="shared" si="82"/>
        <v>4769.4956086161546</v>
      </c>
      <c r="AD100" s="85">
        <f t="shared" si="82"/>
        <v>3591.9622517702228</v>
      </c>
      <c r="AE100" s="246">
        <f t="shared" si="82"/>
        <v>2125.7362820244743</v>
      </c>
    </row>
    <row r="101" spans="1:31" x14ac:dyDescent="0.2">
      <c r="A101" t="s">
        <v>302</v>
      </c>
      <c r="C101" s="22">
        <f t="shared" ref="C101:H101" si="83">-C71</f>
        <v>0</v>
      </c>
      <c r="D101" s="22">
        <f t="shared" si="83"/>
        <v>0</v>
      </c>
      <c r="E101" s="22">
        <f t="shared" si="83"/>
        <v>0</v>
      </c>
      <c r="F101" s="22">
        <f t="shared" si="83"/>
        <v>0</v>
      </c>
      <c r="G101" s="22">
        <f t="shared" si="83"/>
        <v>0</v>
      </c>
      <c r="H101" s="22">
        <f t="shared" si="83"/>
        <v>-758</v>
      </c>
      <c r="I101" s="22">
        <f t="shared" ref="I101:N101" si="84">-I71</f>
        <v>-1513</v>
      </c>
      <c r="J101" s="22">
        <f t="shared" si="84"/>
        <v>0</v>
      </c>
      <c r="K101" s="22">
        <f t="shared" si="84"/>
        <v>0</v>
      </c>
      <c r="L101" s="22">
        <f t="shared" si="84"/>
        <v>0</v>
      </c>
      <c r="M101" s="22">
        <f t="shared" si="84"/>
        <v>-4519</v>
      </c>
      <c r="N101" s="22">
        <f t="shared" si="84"/>
        <v>0</v>
      </c>
      <c r="O101" s="22">
        <f t="shared" ref="O101:T101" si="85">-O71</f>
        <v>0</v>
      </c>
      <c r="P101" s="106">
        <f t="shared" si="85"/>
        <v>0</v>
      </c>
      <c r="Q101" s="106">
        <f t="shared" si="85"/>
        <v>0</v>
      </c>
      <c r="R101" s="106">
        <f t="shared" si="85"/>
        <v>0</v>
      </c>
      <c r="S101" s="106">
        <f t="shared" si="85"/>
        <v>0</v>
      </c>
      <c r="T101" s="106">
        <f t="shared" si="85"/>
        <v>0</v>
      </c>
      <c r="U101" s="106">
        <f t="shared" ref="U101:Z101" si="86">-U71</f>
        <v>0</v>
      </c>
      <c r="V101" s="106">
        <f t="shared" si="86"/>
        <v>0</v>
      </c>
      <c r="W101" s="106">
        <f t="shared" si="86"/>
        <v>0</v>
      </c>
      <c r="X101" s="106">
        <f t="shared" si="86"/>
        <v>0</v>
      </c>
      <c r="Y101" s="106">
        <f t="shared" si="86"/>
        <v>0</v>
      </c>
      <c r="Z101" s="106">
        <f t="shared" si="86"/>
        <v>0</v>
      </c>
      <c r="AA101" s="348">
        <f>-AA71</f>
        <v>0</v>
      </c>
      <c r="AB101" s="85">
        <f>-AB71</f>
        <v>0</v>
      </c>
      <c r="AC101" s="85">
        <f>-AC71</f>
        <v>0</v>
      </c>
      <c r="AD101" s="85">
        <f>-AD71</f>
        <v>0</v>
      </c>
      <c r="AE101" s="246">
        <f>-AE71</f>
        <v>0</v>
      </c>
    </row>
    <row r="102" spans="1:31" ht="13.5" thickBot="1" x14ac:dyDescent="0.25">
      <c r="A102" t="s">
        <v>303</v>
      </c>
      <c r="C102" s="66">
        <f>SUM(C98:C101)</f>
        <v>1443.4300000000003</v>
      </c>
      <c r="D102" s="66">
        <f>SUM(D98:D101)</f>
        <v>686.42250000000058</v>
      </c>
      <c r="E102" s="66">
        <f t="shared" ref="E102:P102" si="87">SUM(E98:E101)</f>
        <v>3172.5162499999969</v>
      </c>
      <c r="F102" s="66">
        <f t="shared" si="87"/>
        <v>1493.3037499999955</v>
      </c>
      <c r="G102" s="66">
        <f t="shared" si="87"/>
        <v>3236.6912499999999</v>
      </c>
      <c r="H102" s="66">
        <f t="shared" si="87"/>
        <v>4504.3662500000028</v>
      </c>
      <c r="I102" s="66">
        <f t="shared" si="87"/>
        <v>5352.8549999999996</v>
      </c>
      <c r="J102" s="66">
        <f t="shared" si="87"/>
        <v>7454.9975000000013</v>
      </c>
      <c r="K102" s="66">
        <f t="shared" si="87"/>
        <v>10951.279999999995</v>
      </c>
      <c r="L102" s="66">
        <f t="shared" si="87"/>
        <v>12131.434999999994</v>
      </c>
      <c r="M102" s="66">
        <f t="shared" si="87"/>
        <v>5503.7149999999929</v>
      </c>
      <c r="N102" s="66">
        <f t="shared" si="87"/>
        <v>5291.434999999994</v>
      </c>
      <c r="O102" s="66">
        <f t="shared" si="87"/>
        <v>4224.2749999999905</v>
      </c>
      <c r="P102" s="139">
        <f t="shared" si="87"/>
        <v>4055.0499999999847</v>
      </c>
      <c r="Q102" s="139">
        <f t="shared" ref="Q102:AC102" si="88">SUM(Q98:Q101)</f>
        <v>2985.5999999999876</v>
      </c>
      <c r="R102" s="139">
        <f t="shared" si="88"/>
        <v>5775.1499999999905</v>
      </c>
      <c r="S102" s="139">
        <f t="shared" si="88"/>
        <v>9120.8012499999859</v>
      </c>
      <c r="T102" s="139">
        <f t="shared" si="88"/>
        <v>5234.9762499999888</v>
      </c>
      <c r="U102" s="139">
        <f t="shared" si="88"/>
        <v>553.67999999998938</v>
      </c>
      <c r="V102" s="139">
        <f t="shared" si="88"/>
        <v>1544.9353534285583</v>
      </c>
      <c r="W102" s="139">
        <f t="shared" si="88"/>
        <v>-3295.8878955714499</v>
      </c>
      <c r="X102" s="139">
        <f t="shared" si="88"/>
        <v>-2473.0586665491319</v>
      </c>
      <c r="Y102" s="139">
        <f t="shared" si="88"/>
        <v>3702.3120704508583</v>
      </c>
      <c r="Z102" s="139">
        <f t="shared" si="88"/>
        <v>9631.1466204508724</v>
      </c>
      <c r="AA102" s="357">
        <f t="shared" si="88"/>
        <v>18002.558623450892</v>
      </c>
      <c r="AB102" s="94">
        <f t="shared" si="88"/>
        <v>23017.298907988134</v>
      </c>
      <c r="AC102" s="94">
        <f t="shared" si="88"/>
        <v>26027.794516604288</v>
      </c>
      <c r="AD102" s="94">
        <f t="shared" ref="AD102:AE102" si="89">SUM(AD98:AD101)</f>
        <v>27548.756768374511</v>
      </c>
      <c r="AE102" s="256">
        <f t="shared" si="89"/>
        <v>27321.493050398985</v>
      </c>
    </row>
    <row r="103" spans="1:31" ht="13.5" thickTop="1" x14ac:dyDescent="0.2"/>
    <row r="104" spans="1:31" x14ac:dyDescent="0.2">
      <c r="H104" s="22">
        <f>H102-H95</f>
        <v>0</v>
      </c>
      <c r="M104" s="22">
        <f>M95-M102</f>
        <v>-1</v>
      </c>
      <c r="N104" s="22">
        <f>N95-N102</f>
        <v>0</v>
      </c>
      <c r="O104" s="22">
        <f>O95-O102</f>
        <v>0</v>
      </c>
      <c r="P104" s="106">
        <f>P95-P102</f>
        <v>0</v>
      </c>
      <c r="Q104" s="106">
        <f t="shared" ref="Q104:Z104" si="90">Q95-Q102</f>
        <v>0</v>
      </c>
      <c r="R104" s="106">
        <f t="shared" si="90"/>
        <v>0</v>
      </c>
      <c r="S104" s="106">
        <f t="shared" si="90"/>
        <v>0</v>
      </c>
      <c r="T104" s="106">
        <f t="shared" si="90"/>
        <v>0</v>
      </c>
      <c r="U104" s="106">
        <f t="shared" si="90"/>
        <v>0</v>
      </c>
      <c r="V104" s="106">
        <f t="shared" si="90"/>
        <v>0</v>
      </c>
      <c r="W104" s="106">
        <f t="shared" si="90"/>
        <v>0</v>
      </c>
      <c r="X104" s="106">
        <f t="shared" si="90"/>
        <v>0</v>
      </c>
      <c r="Y104" s="106">
        <f t="shared" si="90"/>
        <v>0</v>
      </c>
      <c r="Z104" s="106">
        <f t="shared" si="90"/>
        <v>0</v>
      </c>
      <c r="AA104" s="348">
        <f>AA95-AA102</f>
        <v>0</v>
      </c>
      <c r="AB104" s="85">
        <f>AB95-AB102</f>
        <v>0</v>
      </c>
      <c r="AC104" s="85">
        <f>AC95-AC102</f>
        <v>0</v>
      </c>
      <c r="AD104" s="85">
        <f>AD95-AD102</f>
        <v>0</v>
      </c>
      <c r="AE104" s="246">
        <f>AE95-AE102</f>
        <v>0</v>
      </c>
    </row>
  </sheetData>
  <phoneticPr fontId="0" type="noConversion"/>
  <pageMargins left="0.5" right="0.5" top="0.5" bottom="0.45" header="0.25" footer="0.25"/>
  <pageSetup paperSize="5" scale="46" fitToHeight="2" orientation="landscape" r:id="rId1"/>
  <headerFooter alignWithMargins="0">
    <oddFooter>&amp;L&amp;"Arial,Bold"&amp;F&amp;C&amp;A&amp;R&amp;D  &amp;T</oddFooter>
  </headerFooter>
  <rowBreaks count="1" manualBreakCount="1">
    <brk id="72" max="3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5"/>
  <sheetViews>
    <sheetView workbookViewId="0">
      <pane xSplit="1" ySplit="4" topLeftCell="B31" activePane="bottomRight" state="frozen"/>
      <selection activeCell="AF39" sqref="AF39"/>
      <selection pane="topRight" activeCell="AF39" sqref="AF39"/>
      <selection pane="bottomLeft" activeCell="AF39" sqref="AF39"/>
      <selection pane="bottomRight" activeCell="H35" sqref="H35"/>
    </sheetView>
  </sheetViews>
  <sheetFormatPr baseColWidth="10" defaultColWidth="9.140625" defaultRowHeight="12.75" x14ac:dyDescent="0.2"/>
  <cols>
    <col min="1" max="1" width="53.28515625" customWidth="1"/>
    <col min="2" max="2" width="22" customWidth="1"/>
    <col min="36" max="38" width="8.85546875" customWidth="1"/>
    <col min="39" max="39" width="2.85546875" customWidth="1"/>
    <col min="40" max="40" width="11.5703125" customWidth="1"/>
    <col min="41" max="41" width="9.28515625" bestFit="1" customWidth="1"/>
  </cols>
  <sheetData>
    <row r="1" spans="1:41" ht="15.75" x14ac:dyDescent="0.25">
      <c r="A1" s="18" t="s">
        <v>67</v>
      </c>
    </row>
    <row r="2" spans="1:41" x14ac:dyDescent="0.2">
      <c r="A2" s="2" t="s">
        <v>250</v>
      </c>
    </row>
    <row r="3" spans="1:41" x14ac:dyDescent="0.2">
      <c r="AN3" s="16" t="s">
        <v>106</v>
      </c>
      <c r="AO3">
        <f>'Data Input'!J16+500</f>
        <v>758</v>
      </c>
    </row>
    <row r="4" spans="1:41" s="2" customFormat="1" ht="13.5" thickBot="1" x14ac:dyDescent="0.25">
      <c r="A4" s="19" t="s">
        <v>1</v>
      </c>
      <c r="B4" s="20" t="s">
        <v>26</v>
      </c>
      <c r="C4" s="20">
        <v>1996</v>
      </c>
      <c r="D4" s="20">
        <v>1997</v>
      </c>
      <c r="E4" s="20">
        <v>1998</v>
      </c>
      <c r="F4" s="20">
        <v>1999</v>
      </c>
      <c r="G4" s="20">
        <v>2000</v>
      </c>
      <c r="H4" s="20">
        <v>2001</v>
      </c>
      <c r="I4" s="20">
        <v>2002</v>
      </c>
      <c r="J4" s="20">
        <v>2003</v>
      </c>
      <c r="K4" s="20">
        <v>2004</v>
      </c>
      <c r="L4" s="20">
        <v>2005</v>
      </c>
      <c r="M4" s="20">
        <v>2006</v>
      </c>
      <c r="N4" s="20">
        <v>2007</v>
      </c>
      <c r="O4" s="20">
        <v>2008</v>
      </c>
      <c r="P4" s="20">
        <v>2009</v>
      </c>
      <c r="Q4" s="20">
        <v>2010</v>
      </c>
      <c r="R4" s="20">
        <v>2011</v>
      </c>
      <c r="S4" s="20">
        <v>2012</v>
      </c>
      <c r="T4" s="20">
        <v>2013</v>
      </c>
      <c r="U4" s="20">
        <v>2014</v>
      </c>
      <c r="V4" s="20">
        <v>2015</v>
      </c>
      <c r="W4" s="20">
        <v>2016</v>
      </c>
      <c r="X4" s="73">
        <v>2017</v>
      </c>
      <c r="Y4" s="73">
        <v>2018</v>
      </c>
      <c r="Z4" s="73">
        <v>2019</v>
      </c>
      <c r="AA4" s="73">
        <v>2020</v>
      </c>
      <c r="AB4" s="73">
        <v>2021</v>
      </c>
      <c r="AC4" s="73">
        <v>2022</v>
      </c>
      <c r="AD4" s="73">
        <v>2023</v>
      </c>
      <c r="AE4" s="73">
        <v>2024</v>
      </c>
      <c r="AF4" s="73">
        <v>2025</v>
      </c>
      <c r="AG4" s="73">
        <v>2026</v>
      </c>
      <c r="AH4" s="73">
        <v>2027</v>
      </c>
      <c r="AI4" s="73">
        <v>2028</v>
      </c>
      <c r="AJ4" s="73">
        <v>2029</v>
      </c>
      <c r="AK4" s="73">
        <v>2030</v>
      </c>
      <c r="AL4" s="73"/>
      <c r="AN4" s="17" t="s">
        <v>107</v>
      </c>
      <c r="AO4" s="17" t="s">
        <v>109</v>
      </c>
    </row>
    <row r="7" spans="1:41" x14ac:dyDescent="0.2">
      <c r="A7" s="28" t="s">
        <v>113</v>
      </c>
    </row>
    <row r="8" spans="1:41" s="3" customFormat="1" x14ac:dyDescent="0.2">
      <c r="A8" s="3" t="s">
        <v>91</v>
      </c>
      <c r="B8" s="3" t="s">
        <v>108</v>
      </c>
      <c r="C8" s="3">
        <f>'experience g(l)'!H40</f>
        <v>111</v>
      </c>
      <c r="D8" s="3">
        <f>'experience g(l)'!I40</f>
        <v>111</v>
      </c>
      <c r="E8" s="3">
        <f>'experience g(l)'!J40</f>
        <v>111</v>
      </c>
      <c r="F8" s="3">
        <f>'experience g(l)'!K40</f>
        <v>111</v>
      </c>
      <c r="G8" s="3">
        <f>'experience g(l)'!L40</f>
        <v>111</v>
      </c>
      <c r="H8" s="3">
        <f>'experience g(l)'!M40</f>
        <v>111</v>
      </c>
      <c r="I8" s="3">
        <f>'experience g(l)'!N40</f>
        <v>111</v>
      </c>
      <c r="J8" s="3">
        <f>'experience g(l)'!O40</f>
        <v>111</v>
      </c>
      <c r="K8" s="3">
        <f>'experience g(l)'!P40</f>
        <v>111</v>
      </c>
      <c r="L8" s="3">
        <f>'experience g(l)'!Q40</f>
        <v>0</v>
      </c>
      <c r="M8" s="3">
        <f>'experience g(l)'!R40</f>
        <v>0</v>
      </c>
      <c r="N8" s="3">
        <f>'experience g(l)'!S40</f>
        <v>0</v>
      </c>
      <c r="O8" s="3">
        <f>'experience g(l)'!T40</f>
        <v>0</v>
      </c>
      <c r="AN8" s="3">
        <f>SUM(C8:AM8)</f>
        <v>999</v>
      </c>
      <c r="AO8" s="3">
        <v>758</v>
      </c>
    </row>
    <row r="9" spans="1:41" s="3" customFormat="1" x14ac:dyDescent="0.2">
      <c r="A9" s="3" t="s">
        <v>92</v>
      </c>
      <c r="B9" s="3" t="s">
        <v>108</v>
      </c>
      <c r="C9" s="3">
        <f>'experience g(l)'!H41</f>
        <v>-50</v>
      </c>
      <c r="D9" s="3">
        <f>'experience g(l)'!I41</f>
        <v>-50</v>
      </c>
      <c r="E9" s="3">
        <f>'experience g(l)'!J41</f>
        <v>-50</v>
      </c>
      <c r="F9" s="3">
        <f>'experience g(l)'!K41</f>
        <v>-50</v>
      </c>
      <c r="G9" s="3">
        <f>'experience g(l)'!L41</f>
        <v>-50</v>
      </c>
      <c r="H9" s="3">
        <f>'experience g(l)'!M41</f>
        <v>-50</v>
      </c>
      <c r="I9" s="3">
        <f>'experience g(l)'!N41</f>
        <v>-49</v>
      </c>
      <c r="J9" s="3">
        <f>'experience g(l)'!O41</f>
        <v>-49</v>
      </c>
      <c r="K9" s="3">
        <f>'experience g(l)'!P41</f>
        <v>-49</v>
      </c>
      <c r="L9" s="3">
        <f>'experience g(l)'!Q41</f>
        <v>-49</v>
      </c>
      <c r="M9" s="3">
        <f>'experience g(l)'!R41</f>
        <v>0</v>
      </c>
      <c r="N9" s="3">
        <f>'experience g(l)'!S41</f>
        <v>0</v>
      </c>
      <c r="O9" s="3">
        <f>'experience g(l)'!T41</f>
        <v>0</v>
      </c>
      <c r="AN9" s="3">
        <f>SUM(C9:AM9)</f>
        <v>-496</v>
      </c>
    </row>
    <row r="10" spans="1:41" s="3" customFormat="1" x14ac:dyDescent="0.2">
      <c r="A10" s="3" t="s">
        <v>93</v>
      </c>
      <c r="B10" s="3" t="s">
        <v>108</v>
      </c>
      <c r="C10" s="3">
        <f>'experience g(l)'!H42</f>
        <v>196</v>
      </c>
      <c r="D10" s="3">
        <f>'experience g(l)'!I42</f>
        <v>196</v>
      </c>
      <c r="E10" s="3">
        <f>'experience g(l)'!J42</f>
        <v>196</v>
      </c>
      <c r="F10" s="3">
        <f>'experience g(l)'!K42</f>
        <v>196</v>
      </c>
      <c r="G10" s="3">
        <f>'experience g(l)'!L42</f>
        <v>196</v>
      </c>
      <c r="H10" s="3">
        <f>'experience g(l)'!M42</f>
        <v>196</v>
      </c>
      <c r="I10" s="3">
        <f>'experience g(l)'!N42</f>
        <v>196</v>
      </c>
      <c r="J10" s="3">
        <f>'experience g(l)'!O42</f>
        <v>196</v>
      </c>
      <c r="K10" s="3">
        <f>'experience g(l)'!P42</f>
        <v>196</v>
      </c>
      <c r="L10" s="3">
        <f>'experience g(l)'!Q42</f>
        <v>196</v>
      </c>
      <c r="M10" s="3">
        <f>'experience g(l)'!R42</f>
        <v>195</v>
      </c>
      <c r="N10" s="3">
        <f>'experience g(l)'!S42</f>
        <v>0</v>
      </c>
      <c r="O10" s="3">
        <f>'experience g(l)'!T42</f>
        <v>0</v>
      </c>
      <c r="AN10" s="3">
        <f>SUM(C10:AM10)</f>
        <v>2155</v>
      </c>
    </row>
    <row r="11" spans="1:41" s="3" customFormat="1" x14ac:dyDescent="0.2">
      <c r="A11" s="3" t="s">
        <v>94</v>
      </c>
      <c r="B11" s="3" t="s">
        <v>108</v>
      </c>
      <c r="C11" s="3">
        <f>'experience g(l)'!H43</f>
        <v>-109</v>
      </c>
      <c r="D11" s="3">
        <f>'experience g(l)'!I43</f>
        <v>-109</v>
      </c>
      <c r="E11" s="3">
        <f>'experience g(l)'!J43</f>
        <v>-109</v>
      </c>
      <c r="F11" s="3">
        <f>'experience g(l)'!K43</f>
        <v>-109</v>
      </c>
      <c r="G11" s="3">
        <f>'experience g(l)'!L43</f>
        <v>-109</v>
      </c>
      <c r="H11" s="3">
        <f>'experience g(l)'!M43</f>
        <v>-109</v>
      </c>
      <c r="I11" s="3">
        <f>'experience g(l)'!N43</f>
        <v>-109</v>
      </c>
      <c r="J11" s="3">
        <f>'experience g(l)'!O43</f>
        <v>-110</v>
      </c>
      <c r="K11" s="3">
        <f>'experience g(l)'!P43</f>
        <v>-110</v>
      </c>
      <c r="L11" s="3">
        <f>'experience g(l)'!Q43</f>
        <v>-110</v>
      </c>
      <c r="M11" s="3">
        <f>'experience g(l)'!R43</f>
        <v>-110</v>
      </c>
      <c r="N11" s="3">
        <f>'experience g(l)'!S43</f>
        <v>-110</v>
      </c>
      <c r="O11" s="3">
        <f>'experience g(l)'!T43</f>
        <v>0</v>
      </c>
      <c r="AN11" s="3">
        <f>SUM(C11:AM11)</f>
        <v>-1313</v>
      </c>
    </row>
    <row r="12" spans="1:41" s="3" customFormat="1" x14ac:dyDescent="0.2">
      <c r="A12" s="3" t="s">
        <v>95</v>
      </c>
      <c r="B12" s="3" t="s">
        <v>108</v>
      </c>
      <c r="C12" s="6">
        <f>'experience g(l)'!H44</f>
        <v>145</v>
      </c>
      <c r="D12" s="6">
        <f>'experience g(l)'!I44</f>
        <v>145</v>
      </c>
      <c r="E12" s="6">
        <f>'experience g(l)'!J44</f>
        <v>145</v>
      </c>
      <c r="F12" s="6">
        <f>'experience g(l)'!K44</f>
        <v>145</v>
      </c>
      <c r="G12" s="6">
        <f>'experience g(l)'!L44</f>
        <v>145</v>
      </c>
      <c r="H12" s="6">
        <f>'experience g(l)'!M44</f>
        <v>145</v>
      </c>
      <c r="I12" s="6">
        <f>'experience g(l)'!N44</f>
        <v>145</v>
      </c>
      <c r="J12" s="6">
        <f>'experience g(l)'!O44</f>
        <v>146</v>
      </c>
      <c r="K12" s="6">
        <f>'experience g(l)'!P44</f>
        <v>146</v>
      </c>
      <c r="L12" s="6">
        <f>'experience g(l)'!Q44</f>
        <v>146</v>
      </c>
      <c r="M12" s="6">
        <f>'experience g(l)'!R44</f>
        <v>146</v>
      </c>
      <c r="N12" s="6">
        <f>'experience g(l)'!S44</f>
        <v>146</v>
      </c>
      <c r="O12" s="6">
        <f>'experience g(l)'!T44</f>
        <v>146</v>
      </c>
      <c r="P12" s="6"/>
      <c r="Q12" s="6"/>
      <c r="R12" s="6"/>
      <c r="S12" s="6"/>
      <c r="T12" s="6"/>
      <c r="U12" s="45"/>
      <c r="V12" s="45"/>
      <c r="W12" s="45"/>
      <c r="X12" s="45"/>
      <c r="Y12" s="45"/>
      <c r="Z12" s="45"/>
      <c r="AA12" s="45"/>
      <c r="AB12" s="45"/>
      <c r="AC12" s="45"/>
      <c r="AD12" s="45"/>
      <c r="AE12" s="45"/>
      <c r="AF12" s="45"/>
      <c r="AG12" s="45"/>
      <c r="AH12" s="45"/>
      <c r="AI12" s="45"/>
      <c r="AJ12" s="45"/>
      <c r="AK12" s="45"/>
      <c r="AL12" s="45"/>
      <c r="AN12" s="6">
        <f>SUM(C12:AM12)</f>
        <v>1891</v>
      </c>
      <c r="AO12" s="6"/>
    </row>
    <row r="13" spans="1:41" x14ac:dyDescent="0.2">
      <c r="A13" s="31" t="s">
        <v>110</v>
      </c>
      <c r="AN13" s="33">
        <f>SUM(AN8:AN12)</f>
        <v>3236</v>
      </c>
      <c r="AO13" s="34">
        <f>SUM(AO8:AO12)</f>
        <v>758</v>
      </c>
    </row>
    <row r="15" spans="1:41" x14ac:dyDescent="0.2">
      <c r="A15" s="28" t="s">
        <v>114</v>
      </c>
    </row>
    <row r="16" spans="1:41" s="25" customFormat="1" ht="12" customHeight="1" x14ac:dyDescent="0.2">
      <c r="A16" s="25" t="s">
        <v>91</v>
      </c>
      <c r="B16" s="8" t="s">
        <v>131</v>
      </c>
      <c r="C16" s="36">
        <v>-85</v>
      </c>
      <c r="D16" s="36">
        <v>-85</v>
      </c>
      <c r="E16" s="36">
        <v>-84</v>
      </c>
      <c r="F16" s="36">
        <v>-84</v>
      </c>
      <c r="G16" s="36">
        <v>-84</v>
      </c>
      <c r="H16" s="36">
        <v>-84</v>
      </c>
      <c r="I16" s="36">
        <v>-84</v>
      </c>
      <c r="J16" s="36">
        <v>-84</v>
      </c>
      <c r="K16" s="36">
        <v>-84</v>
      </c>
      <c r="L16" s="36"/>
      <c r="M16" s="36"/>
      <c r="N16" s="36"/>
      <c r="O16" s="36"/>
      <c r="P16" s="36"/>
      <c r="Q16" s="36"/>
      <c r="R16" s="36"/>
      <c r="S16" s="36"/>
      <c r="T16" s="36"/>
      <c r="U16" s="39"/>
      <c r="V16" s="39"/>
      <c r="W16" s="39"/>
      <c r="X16" s="39"/>
      <c r="Y16" s="39"/>
      <c r="Z16" s="39"/>
      <c r="AA16" s="39"/>
      <c r="AB16" s="39"/>
      <c r="AC16" s="39"/>
      <c r="AD16" s="39"/>
      <c r="AE16" s="39"/>
      <c r="AF16" s="39"/>
      <c r="AG16" s="39"/>
      <c r="AH16" s="39"/>
      <c r="AI16" s="39"/>
      <c r="AJ16" s="39"/>
      <c r="AK16" s="39"/>
      <c r="AL16" s="39"/>
      <c r="AN16" s="25">
        <f>SUM(C16:AM16)</f>
        <v>-758</v>
      </c>
    </row>
    <row r="18" spans="1:41" x14ac:dyDescent="0.2">
      <c r="AN18" s="16" t="s">
        <v>106</v>
      </c>
      <c r="AO18" s="3">
        <f>'Data Input'!K16-500</f>
        <v>1513</v>
      </c>
    </row>
    <row r="19" spans="1:41" x14ac:dyDescent="0.2">
      <c r="A19" s="28" t="s">
        <v>115</v>
      </c>
      <c r="AN19" s="17" t="s">
        <v>116</v>
      </c>
      <c r="AO19" s="17" t="s">
        <v>117</v>
      </c>
    </row>
    <row r="20" spans="1:41" s="3" customFormat="1" x14ac:dyDescent="0.2">
      <c r="A20" s="3" t="s">
        <v>91</v>
      </c>
      <c r="B20" s="3" t="s">
        <v>31</v>
      </c>
      <c r="C20" s="3">
        <f>C8+C16</f>
        <v>26</v>
      </c>
      <c r="D20" s="3">
        <f t="shared" ref="D20:P20" si="0">D8+D16</f>
        <v>26</v>
      </c>
      <c r="E20" s="3">
        <f t="shared" si="0"/>
        <v>27</v>
      </c>
      <c r="F20" s="3">
        <f t="shared" si="0"/>
        <v>27</v>
      </c>
      <c r="G20" s="3">
        <f t="shared" si="0"/>
        <v>27</v>
      </c>
      <c r="H20" s="3">
        <f t="shared" si="0"/>
        <v>27</v>
      </c>
      <c r="I20" s="3">
        <f t="shared" si="0"/>
        <v>27</v>
      </c>
      <c r="J20" s="3">
        <f t="shared" si="0"/>
        <v>27</v>
      </c>
      <c r="K20" s="3">
        <f t="shared" si="0"/>
        <v>27</v>
      </c>
      <c r="L20" s="3">
        <f t="shared" si="0"/>
        <v>0</v>
      </c>
      <c r="M20" s="3">
        <f t="shared" si="0"/>
        <v>0</v>
      </c>
      <c r="N20" s="3">
        <f t="shared" si="0"/>
        <v>0</v>
      </c>
      <c r="O20" s="3">
        <f t="shared" si="0"/>
        <v>0</v>
      </c>
      <c r="P20" s="3">
        <f t="shared" si="0"/>
        <v>0</v>
      </c>
      <c r="AN20" s="3">
        <f t="shared" ref="AN20:AN25" si="1">SUM(D20:AM20)</f>
        <v>215</v>
      </c>
      <c r="AO20" s="3">
        <v>215</v>
      </c>
    </row>
    <row r="21" spans="1:41" s="3" customFormat="1" x14ac:dyDescent="0.2">
      <c r="A21" s="3" t="s">
        <v>92</v>
      </c>
      <c r="B21" s="3" t="s">
        <v>108</v>
      </c>
      <c r="C21" s="3">
        <f>'experience g(l)'!H41</f>
        <v>-50</v>
      </c>
      <c r="D21" s="3">
        <f>'experience g(l)'!I41</f>
        <v>-50</v>
      </c>
      <c r="E21" s="3">
        <f>'experience g(l)'!J41</f>
        <v>-50</v>
      </c>
      <c r="F21" s="3">
        <f>'experience g(l)'!K41</f>
        <v>-50</v>
      </c>
      <c r="G21" s="3">
        <f>'experience g(l)'!L41</f>
        <v>-50</v>
      </c>
      <c r="H21" s="3">
        <f>'experience g(l)'!M41</f>
        <v>-50</v>
      </c>
      <c r="I21" s="3">
        <f>'experience g(l)'!N41</f>
        <v>-49</v>
      </c>
      <c r="J21" s="3">
        <f>'experience g(l)'!O41</f>
        <v>-49</v>
      </c>
      <c r="K21" s="3">
        <f>'experience g(l)'!P41</f>
        <v>-49</v>
      </c>
      <c r="L21" s="3">
        <f>'experience g(l)'!Q41</f>
        <v>-49</v>
      </c>
      <c r="M21" s="3">
        <f>'experience g(l)'!R41</f>
        <v>0</v>
      </c>
      <c r="N21" s="3">
        <f>'experience g(l)'!S41</f>
        <v>0</v>
      </c>
      <c r="O21" s="3">
        <f>'experience g(l)'!T41</f>
        <v>0</v>
      </c>
      <c r="P21" s="3">
        <f>'experience g(l)'!U41</f>
        <v>0</v>
      </c>
      <c r="AN21" s="3">
        <f t="shared" si="1"/>
        <v>-446</v>
      </c>
    </row>
    <row r="22" spans="1:41" s="3" customFormat="1" x14ac:dyDescent="0.2">
      <c r="A22" s="3" t="s">
        <v>93</v>
      </c>
      <c r="B22" s="3" t="s">
        <v>108</v>
      </c>
      <c r="C22" s="3">
        <f>'experience g(l)'!H42</f>
        <v>196</v>
      </c>
      <c r="D22" s="3">
        <f>'experience g(l)'!I42</f>
        <v>196</v>
      </c>
      <c r="E22" s="3">
        <f>'experience g(l)'!J42</f>
        <v>196</v>
      </c>
      <c r="F22" s="3">
        <f>'experience g(l)'!K42</f>
        <v>196</v>
      </c>
      <c r="G22" s="3">
        <f>'experience g(l)'!L42</f>
        <v>196</v>
      </c>
      <c r="H22" s="3">
        <f>'experience g(l)'!M42</f>
        <v>196</v>
      </c>
      <c r="I22" s="3">
        <f>'experience g(l)'!N42</f>
        <v>196</v>
      </c>
      <c r="J22" s="3">
        <f>'experience g(l)'!O42</f>
        <v>196</v>
      </c>
      <c r="K22" s="3">
        <f>'experience g(l)'!P42</f>
        <v>196</v>
      </c>
      <c r="L22" s="3">
        <f>'experience g(l)'!Q42</f>
        <v>196</v>
      </c>
      <c r="M22" s="3">
        <f>'experience g(l)'!R42</f>
        <v>195</v>
      </c>
      <c r="N22" s="3">
        <f>'experience g(l)'!S42</f>
        <v>0</v>
      </c>
      <c r="O22" s="3">
        <f>'experience g(l)'!T42</f>
        <v>0</v>
      </c>
      <c r="P22" s="3">
        <f>'experience g(l)'!U42</f>
        <v>0</v>
      </c>
      <c r="AN22" s="3">
        <f t="shared" si="1"/>
        <v>1959</v>
      </c>
      <c r="AO22" s="3">
        <v>1298</v>
      </c>
    </row>
    <row r="23" spans="1:41" s="3" customFormat="1" x14ac:dyDescent="0.2">
      <c r="A23" s="3" t="s">
        <v>94</v>
      </c>
      <c r="B23" s="3" t="s">
        <v>108</v>
      </c>
      <c r="C23" s="3">
        <f>'experience g(l)'!H43</f>
        <v>-109</v>
      </c>
      <c r="D23" s="3">
        <f>'experience g(l)'!I43</f>
        <v>-109</v>
      </c>
      <c r="E23" s="3">
        <f>'experience g(l)'!J43</f>
        <v>-109</v>
      </c>
      <c r="F23" s="3">
        <f>'experience g(l)'!K43</f>
        <v>-109</v>
      </c>
      <c r="G23" s="3">
        <f>'experience g(l)'!L43</f>
        <v>-109</v>
      </c>
      <c r="H23" s="3">
        <f>'experience g(l)'!M43</f>
        <v>-109</v>
      </c>
      <c r="I23" s="3">
        <f>'experience g(l)'!N43</f>
        <v>-109</v>
      </c>
      <c r="J23" s="3">
        <f>'experience g(l)'!O43</f>
        <v>-110</v>
      </c>
      <c r="K23" s="3">
        <f>'experience g(l)'!P43</f>
        <v>-110</v>
      </c>
      <c r="L23" s="3">
        <f>'experience g(l)'!Q43</f>
        <v>-110</v>
      </c>
      <c r="M23" s="3">
        <f>'experience g(l)'!R43</f>
        <v>-110</v>
      </c>
      <c r="N23" s="3">
        <f>'experience g(l)'!S43</f>
        <v>-110</v>
      </c>
      <c r="O23" s="3">
        <f>'experience g(l)'!T43</f>
        <v>0</v>
      </c>
      <c r="P23" s="3">
        <f>'experience g(l)'!U43</f>
        <v>0</v>
      </c>
      <c r="AN23" s="3">
        <f t="shared" si="1"/>
        <v>-1204</v>
      </c>
    </row>
    <row r="24" spans="1:41" s="3" customFormat="1" x14ac:dyDescent="0.2">
      <c r="A24" s="3" t="s">
        <v>95</v>
      </c>
      <c r="B24" s="3" t="s">
        <v>108</v>
      </c>
      <c r="C24" s="3">
        <f>'experience g(l)'!H44</f>
        <v>145</v>
      </c>
      <c r="D24" s="3">
        <f>'experience g(l)'!I44</f>
        <v>145</v>
      </c>
      <c r="E24" s="3">
        <f>'experience g(l)'!J44</f>
        <v>145</v>
      </c>
      <c r="F24" s="3">
        <f>'experience g(l)'!K44</f>
        <v>145</v>
      </c>
      <c r="G24" s="3">
        <f>'experience g(l)'!L44</f>
        <v>145</v>
      </c>
      <c r="H24" s="3">
        <f>'experience g(l)'!M44</f>
        <v>145</v>
      </c>
      <c r="I24" s="3">
        <f>'experience g(l)'!N44</f>
        <v>145</v>
      </c>
      <c r="J24" s="3">
        <f>'experience g(l)'!O44</f>
        <v>146</v>
      </c>
      <c r="K24" s="3">
        <f>'experience g(l)'!P44</f>
        <v>146</v>
      </c>
      <c r="L24" s="3">
        <f>'experience g(l)'!Q44</f>
        <v>146</v>
      </c>
      <c r="M24" s="3">
        <f>'experience g(l)'!R44</f>
        <v>146</v>
      </c>
      <c r="N24" s="3">
        <f>'experience g(l)'!S44</f>
        <v>146</v>
      </c>
      <c r="O24" s="3">
        <f>'experience g(l)'!T44</f>
        <v>146</v>
      </c>
      <c r="P24" s="3">
        <f>'experience g(l)'!U44</f>
        <v>0</v>
      </c>
      <c r="AN24" s="3">
        <f t="shared" si="1"/>
        <v>1746</v>
      </c>
    </row>
    <row r="25" spans="1:41" s="3" customFormat="1" x14ac:dyDescent="0.2">
      <c r="A25" s="3" t="s">
        <v>96</v>
      </c>
      <c r="B25" s="3" t="s">
        <v>108</v>
      </c>
      <c r="C25" s="6">
        <f>'experience g(l)'!H45</f>
        <v>172</v>
      </c>
      <c r="D25" s="6">
        <f>'experience g(l)'!I45</f>
        <v>172</v>
      </c>
      <c r="E25" s="6">
        <f>'experience g(l)'!J45</f>
        <v>172</v>
      </c>
      <c r="F25" s="6">
        <f>'experience g(l)'!K45</f>
        <v>172</v>
      </c>
      <c r="G25" s="6">
        <f>'experience g(l)'!L45</f>
        <v>172</v>
      </c>
      <c r="H25" s="6">
        <f>'experience g(l)'!M45</f>
        <v>172</v>
      </c>
      <c r="I25" s="6">
        <f>'experience g(l)'!N45</f>
        <v>172</v>
      </c>
      <c r="J25" s="6">
        <f>'experience g(l)'!O45</f>
        <v>172</v>
      </c>
      <c r="K25" s="6">
        <f>'experience g(l)'!P45</f>
        <v>172</v>
      </c>
      <c r="L25" s="6">
        <f>'experience g(l)'!Q45</f>
        <v>172</v>
      </c>
      <c r="M25" s="6">
        <f>'experience g(l)'!R45</f>
        <v>172</v>
      </c>
      <c r="N25" s="6">
        <f>'experience g(l)'!S45</f>
        <v>172</v>
      </c>
      <c r="O25" s="6">
        <f>'experience g(l)'!T45</f>
        <v>171</v>
      </c>
      <c r="P25" s="6">
        <f>'experience g(l)'!U45</f>
        <v>171</v>
      </c>
      <c r="Q25" s="6"/>
      <c r="R25" s="6"/>
      <c r="S25" s="6"/>
      <c r="T25" s="6"/>
      <c r="U25" s="45"/>
      <c r="V25" s="45"/>
      <c r="W25" s="45"/>
      <c r="X25" s="45"/>
      <c r="Y25" s="45"/>
      <c r="Z25" s="45"/>
      <c r="AA25" s="45"/>
      <c r="AB25" s="45"/>
      <c r="AC25" s="45"/>
      <c r="AD25" s="45"/>
      <c r="AE25" s="45"/>
      <c r="AF25" s="45"/>
      <c r="AG25" s="45"/>
      <c r="AH25" s="45"/>
      <c r="AI25" s="45"/>
      <c r="AJ25" s="45"/>
      <c r="AK25" s="45"/>
      <c r="AL25" s="45"/>
      <c r="AN25" s="6">
        <f t="shared" si="1"/>
        <v>2234</v>
      </c>
      <c r="AO25" s="6"/>
    </row>
    <row r="26" spans="1:41" s="25" customFormat="1" x14ac:dyDescent="0.2">
      <c r="A26" s="25" t="s">
        <v>111</v>
      </c>
      <c r="C26" s="26">
        <f>SUM(C20:C25)</f>
        <v>380</v>
      </c>
      <c r="D26" s="26">
        <f t="shared" ref="D26:T26" si="2">SUM(D20:D25)</f>
        <v>380</v>
      </c>
      <c r="E26" s="26">
        <f t="shared" si="2"/>
        <v>381</v>
      </c>
      <c r="F26" s="26">
        <f t="shared" si="2"/>
        <v>381</v>
      </c>
      <c r="G26" s="26">
        <f t="shared" si="2"/>
        <v>381</v>
      </c>
      <c r="H26" s="26">
        <f t="shared" si="2"/>
        <v>381</v>
      </c>
      <c r="I26" s="26">
        <f t="shared" si="2"/>
        <v>382</v>
      </c>
      <c r="J26" s="26">
        <f t="shared" si="2"/>
        <v>382</v>
      </c>
      <c r="K26" s="26">
        <f t="shared" si="2"/>
        <v>382</v>
      </c>
      <c r="L26" s="26">
        <f t="shared" si="2"/>
        <v>355</v>
      </c>
      <c r="M26" s="26">
        <f t="shared" si="2"/>
        <v>403</v>
      </c>
      <c r="N26" s="26">
        <f t="shared" si="2"/>
        <v>208</v>
      </c>
      <c r="O26" s="26">
        <f t="shared" si="2"/>
        <v>317</v>
      </c>
      <c r="P26" s="26">
        <f t="shared" si="2"/>
        <v>171</v>
      </c>
      <c r="Q26" s="26">
        <f t="shared" si="2"/>
        <v>0</v>
      </c>
      <c r="R26" s="26">
        <f t="shared" si="2"/>
        <v>0</v>
      </c>
      <c r="S26" s="26">
        <f t="shared" si="2"/>
        <v>0</v>
      </c>
      <c r="T26" s="26">
        <f t="shared" si="2"/>
        <v>0</v>
      </c>
      <c r="U26" s="39"/>
      <c r="V26" s="39"/>
      <c r="W26" s="39"/>
      <c r="X26" s="39"/>
      <c r="Y26" s="39"/>
      <c r="Z26" s="39"/>
      <c r="AA26" s="39"/>
      <c r="AB26" s="39"/>
      <c r="AC26" s="39"/>
      <c r="AD26" s="39"/>
      <c r="AE26" s="39"/>
      <c r="AF26" s="39"/>
      <c r="AG26" s="39"/>
      <c r="AH26" s="39"/>
      <c r="AI26" s="39"/>
      <c r="AJ26" s="39"/>
      <c r="AK26" s="39"/>
      <c r="AL26" s="39"/>
      <c r="AN26" s="35">
        <f>SUM(AN20:AN25)</f>
        <v>4504</v>
      </c>
      <c r="AO26" s="36">
        <f>SUM(AO20:AO25)</f>
        <v>1513</v>
      </c>
    </row>
    <row r="27" spans="1:41" s="3" customFormat="1" x14ac:dyDescent="0.2"/>
    <row r="28" spans="1:41" x14ac:dyDescent="0.2">
      <c r="A28" s="28" t="s">
        <v>118</v>
      </c>
    </row>
    <row r="29" spans="1:41" s="3" customFormat="1" x14ac:dyDescent="0.2">
      <c r="A29" s="3" t="s">
        <v>91</v>
      </c>
      <c r="B29" s="3" t="s">
        <v>31</v>
      </c>
      <c r="D29" s="3">
        <f>-D20</f>
        <v>-26</v>
      </c>
      <c r="E29" s="3">
        <f t="shared" ref="E29:M29" si="3">-E20</f>
        <v>-27</v>
      </c>
      <c r="F29" s="3">
        <f t="shared" si="3"/>
        <v>-27</v>
      </c>
      <c r="G29" s="3">
        <f t="shared" si="3"/>
        <v>-27</v>
      </c>
      <c r="H29" s="3">
        <f t="shared" si="3"/>
        <v>-27</v>
      </c>
      <c r="I29" s="3">
        <f t="shared" si="3"/>
        <v>-27</v>
      </c>
      <c r="J29" s="3">
        <f t="shared" si="3"/>
        <v>-27</v>
      </c>
      <c r="K29" s="3">
        <f t="shared" si="3"/>
        <v>-27</v>
      </c>
      <c r="L29" s="3">
        <f t="shared" si="3"/>
        <v>0</v>
      </c>
      <c r="M29" s="3">
        <f t="shared" si="3"/>
        <v>0</v>
      </c>
    </row>
    <row r="30" spans="1:41" s="3" customFormat="1" x14ac:dyDescent="0.2">
      <c r="A30" s="3" t="s">
        <v>93</v>
      </c>
      <c r="B30" s="9" t="s">
        <v>131</v>
      </c>
      <c r="D30" s="6">
        <v>-130</v>
      </c>
      <c r="E30" s="6">
        <v>-130</v>
      </c>
      <c r="F30" s="6">
        <v>-130</v>
      </c>
      <c r="G30" s="6">
        <v>-130</v>
      </c>
      <c r="H30" s="6">
        <v>-130</v>
      </c>
      <c r="I30" s="6">
        <v>-130</v>
      </c>
      <c r="J30" s="6">
        <v>-130</v>
      </c>
      <c r="K30" s="6">
        <v>-130</v>
      </c>
      <c r="L30" s="6">
        <v>-129</v>
      </c>
      <c r="M30" s="6">
        <v>-129</v>
      </c>
      <c r="N30" s="6"/>
      <c r="O30" s="6"/>
      <c r="P30" s="6"/>
      <c r="Q30" s="6"/>
      <c r="R30" s="6"/>
      <c r="S30" s="6"/>
      <c r="T30" s="6"/>
      <c r="U30" s="45"/>
      <c r="V30" s="45"/>
      <c r="W30" s="45"/>
      <c r="X30" s="45"/>
      <c r="Y30" s="45"/>
      <c r="Z30" s="45"/>
      <c r="AA30" s="45"/>
      <c r="AB30" s="45"/>
      <c r="AC30" s="45"/>
      <c r="AD30" s="45"/>
      <c r="AE30" s="45"/>
      <c r="AF30" s="45"/>
      <c r="AG30" s="45"/>
      <c r="AH30" s="45"/>
      <c r="AI30" s="45"/>
      <c r="AJ30" s="45"/>
      <c r="AK30" s="45"/>
      <c r="AL30" s="45"/>
    </row>
    <row r="31" spans="1:41" s="25" customFormat="1" x14ac:dyDescent="0.2">
      <c r="A31" s="25" t="s">
        <v>119</v>
      </c>
      <c r="B31" s="8" t="s">
        <v>31</v>
      </c>
      <c r="D31" s="26">
        <f>SUM(D29:D30)</f>
        <v>-156</v>
      </c>
      <c r="E31" s="26">
        <f t="shared" ref="E31:M31" si="4">SUM(E29:E30)</f>
        <v>-157</v>
      </c>
      <c r="F31" s="26">
        <f t="shared" si="4"/>
        <v>-157</v>
      </c>
      <c r="G31" s="26">
        <f t="shared" si="4"/>
        <v>-157</v>
      </c>
      <c r="H31" s="26">
        <f t="shared" si="4"/>
        <v>-157</v>
      </c>
      <c r="I31" s="26">
        <f t="shared" si="4"/>
        <v>-157</v>
      </c>
      <c r="J31" s="26">
        <f t="shared" si="4"/>
        <v>-157</v>
      </c>
      <c r="K31" s="26">
        <f t="shared" si="4"/>
        <v>-157</v>
      </c>
      <c r="L31" s="26">
        <f t="shared" si="4"/>
        <v>-129</v>
      </c>
      <c r="M31" s="26">
        <f t="shared" si="4"/>
        <v>-129</v>
      </c>
      <c r="N31" s="26"/>
      <c r="O31" s="26"/>
      <c r="P31" s="26"/>
      <c r="Q31" s="26"/>
      <c r="R31" s="26"/>
      <c r="S31" s="26"/>
      <c r="T31" s="26"/>
      <c r="U31" s="39"/>
      <c r="V31" s="39"/>
      <c r="W31" s="39"/>
      <c r="X31" s="39"/>
      <c r="Y31" s="39"/>
      <c r="Z31" s="39"/>
      <c r="AA31" s="39"/>
      <c r="AB31" s="39"/>
      <c r="AC31" s="39"/>
      <c r="AD31" s="39"/>
      <c r="AE31" s="39"/>
      <c r="AF31" s="39"/>
      <c r="AG31" s="39"/>
      <c r="AH31" s="39"/>
      <c r="AI31" s="39"/>
      <c r="AJ31" s="39"/>
      <c r="AK31" s="39"/>
      <c r="AL31" s="39"/>
      <c r="AN31" s="25">
        <f>SUM(C31:AM31)</f>
        <v>-1513</v>
      </c>
    </row>
    <row r="32" spans="1:41" s="3" customFormat="1" x14ac:dyDescent="0.2"/>
    <row r="33" spans="1:41" x14ac:dyDescent="0.2">
      <c r="AN33" s="16" t="s">
        <v>106</v>
      </c>
      <c r="AO33" s="3">
        <f>'Data Input'!$O$16</f>
        <v>4519</v>
      </c>
    </row>
    <row r="34" spans="1:41" x14ac:dyDescent="0.2">
      <c r="A34" s="28" t="s">
        <v>123</v>
      </c>
      <c r="AN34" s="17" t="s">
        <v>125</v>
      </c>
      <c r="AO34" s="17" t="s">
        <v>126</v>
      </c>
    </row>
    <row r="35" spans="1:41" s="3" customFormat="1" x14ac:dyDescent="0.2">
      <c r="A35" s="3" t="s">
        <v>91</v>
      </c>
      <c r="B35" s="3" t="s">
        <v>31</v>
      </c>
      <c r="D35" s="3">
        <f>D20+D29</f>
        <v>0</v>
      </c>
      <c r="E35" s="3">
        <f t="shared" ref="E35:T35" si="5">E20+E29</f>
        <v>0</v>
      </c>
      <c r="F35" s="3">
        <f t="shared" si="5"/>
        <v>0</v>
      </c>
      <c r="G35" s="3">
        <f t="shared" si="5"/>
        <v>0</v>
      </c>
      <c r="H35" s="3">
        <f t="shared" si="5"/>
        <v>0</v>
      </c>
      <c r="I35" s="3">
        <f t="shared" si="5"/>
        <v>0</v>
      </c>
      <c r="J35" s="3">
        <f t="shared" si="5"/>
        <v>0</v>
      </c>
      <c r="K35" s="3">
        <f t="shared" si="5"/>
        <v>0</v>
      </c>
      <c r="L35" s="3">
        <f t="shared" si="5"/>
        <v>0</v>
      </c>
      <c r="M35" s="3">
        <f t="shared" si="5"/>
        <v>0</v>
      </c>
      <c r="N35" s="3">
        <f t="shared" si="5"/>
        <v>0</v>
      </c>
      <c r="O35" s="3">
        <f t="shared" si="5"/>
        <v>0</v>
      </c>
      <c r="P35" s="3">
        <f t="shared" si="5"/>
        <v>0</v>
      </c>
      <c r="Q35" s="3">
        <f t="shared" si="5"/>
        <v>0</v>
      </c>
      <c r="R35" s="3">
        <f t="shared" si="5"/>
        <v>0</v>
      </c>
      <c r="S35" s="3">
        <f t="shared" si="5"/>
        <v>0</v>
      </c>
      <c r="T35" s="3">
        <f t="shared" si="5"/>
        <v>0</v>
      </c>
      <c r="AN35" s="3">
        <f>SUM(H35:AM35)</f>
        <v>0</v>
      </c>
    </row>
    <row r="36" spans="1:41" s="3" customFormat="1" x14ac:dyDescent="0.2">
      <c r="A36" s="3" t="s">
        <v>92</v>
      </c>
      <c r="B36" s="3" t="s">
        <v>108</v>
      </c>
      <c r="D36" s="3">
        <f>'experience g(l)'!I41</f>
        <v>-50</v>
      </c>
      <c r="E36" s="3">
        <f>'experience g(l)'!J41</f>
        <v>-50</v>
      </c>
      <c r="F36" s="3">
        <f>'experience g(l)'!K41</f>
        <v>-50</v>
      </c>
      <c r="G36" s="3">
        <f>'experience g(l)'!L41</f>
        <v>-50</v>
      </c>
      <c r="H36" s="3">
        <f>'experience g(l)'!M41</f>
        <v>-50</v>
      </c>
      <c r="I36" s="3">
        <f>'experience g(l)'!N41</f>
        <v>-49</v>
      </c>
      <c r="J36" s="3">
        <f>'experience g(l)'!O41</f>
        <v>-49</v>
      </c>
      <c r="K36" s="3">
        <f>'experience g(l)'!P41</f>
        <v>-49</v>
      </c>
      <c r="L36" s="3">
        <f>'experience g(l)'!Q41</f>
        <v>-49</v>
      </c>
      <c r="M36" s="3">
        <f>'experience g(l)'!R41</f>
        <v>0</v>
      </c>
      <c r="N36" s="3">
        <f>'experience g(l)'!S41</f>
        <v>0</v>
      </c>
      <c r="O36" s="3">
        <f>'experience g(l)'!T41</f>
        <v>0</v>
      </c>
      <c r="P36" s="3">
        <f>'experience g(l)'!U41</f>
        <v>0</v>
      </c>
      <c r="Q36" s="3">
        <f>'experience g(l)'!V41</f>
        <v>0</v>
      </c>
      <c r="R36" s="3">
        <f>'experience g(l)'!W41</f>
        <v>0</v>
      </c>
      <c r="S36" s="3">
        <f>'experience g(l)'!X41</f>
        <v>0</v>
      </c>
      <c r="T36" s="3">
        <f>'experience g(l)'!Y41</f>
        <v>0</v>
      </c>
      <c r="AN36" s="3">
        <f t="shared" ref="AN36:AN44" si="6">SUM(H36:AM36)</f>
        <v>-246</v>
      </c>
    </row>
    <row r="37" spans="1:41" s="3" customFormat="1" x14ac:dyDescent="0.2">
      <c r="A37" s="3" t="s">
        <v>93</v>
      </c>
      <c r="B37" s="3" t="s">
        <v>31</v>
      </c>
      <c r="D37" s="3">
        <f>D22+D30</f>
        <v>66</v>
      </c>
      <c r="E37" s="3">
        <f t="shared" ref="E37:T37" si="7">E22+E30</f>
        <v>66</v>
      </c>
      <c r="F37" s="3">
        <f t="shared" si="7"/>
        <v>66</v>
      </c>
      <c r="G37" s="3">
        <f t="shared" si="7"/>
        <v>66</v>
      </c>
      <c r="H37" s="3">
        <f t="shared" si="7"/>
        <v>66</v>
      </c>
      <c r="I37" s="3">
        <f t="shared" si="7"/>
        <v>66</v>
      </c>
      <c r="J37" s="3">
        <f t="shared" si="7"/>
        <v>66</v>
      </c>
      <c r="K37" s="3">
        <f t="shared" si="7"/>
        <v>66</v>
      </c>
      <c r="L37" s="3">
        <f t="shared" si="7"/>
        <v>67</v>
      </c>
      <c r="M37" s="3">
        <f t="shared" si="7"/>
        <v>66</v>
      </c>
      <c r="N37" s="3">
        <f t="shared" si="7"/>
        <v>0</v>
      </c>
      <c r="O37" s="3">
        <f t="shared" si="7"/>
        <v>0</v>
      </c>
      <c r="P37" s="3">
        <f t="shared" si="7"/>
        <v>0</v>
      </c>
      <c r="Q37" s="3">
        <f t="shared" si="7"/>
        <v>0</v>
      </c>
      <c r="R37" s="3">
        <f t="shared" si="7"/>
        <v>0</v>
      </c>
      <c r="S37" s="3">
        <f t="shared" si="7"/>
        <v>0</v>
      </c>
      <c r="T37" s="3">
        <f t="shared" si="7"/>
        <v>0</v>
      </c>
      <c r="AN37" s="3">
        <f t="shared" si="6"/>
        <v>397</v>
      </c>
      <c r="AO37" s="3">
        <v>397</v>
      </c>
    </row>
    <row r="38" spans="1:41" s="3" customFormat="1" x14ac:dyDescent="0.2">
      <c r="A38" s="3" t="s">
        <v>94</v>
      </c>
      <c r="B38" s="3" t="s">
        <v>108</v>
      </c>
      <c r="D38" s="3">
        <f>'experience g(l)'!I43</f>
        <v>-109</v>
      </c>
      <c r="E38" s="3">
        <f>'experience g(l)'!J43</f>
        <v>-109</v>
      </c>
      <c r="F38" s="3">
        <f>'experience g(l)'!K43</f>
        <v>-109</v>
      </c>
      <c r="G38" s="3">
        <f>'experience g(l)'!L43</f>
        <v>-109</v>
      </c>
      <c r="H38" s="3">
        <f>'experience g(l)'!M43</f>
        <v>-109</v>
      </c>
      <c r="I38" s="3">
        <f>'experience g(l)'!N43</f>
        <v>-109</v>
      </c>
      <c r="J38" s="3">
        <f>'experience g(l)'!O43</f>
        <v>-110</v>
      </c>
      <c r="K38" s="3">
        <f>'experience g(l)'!P43</f>
        <v>-110</v>
      </c>
      <c r="L38" s="3">
        <f>'experience g(l)'!Q43</f>
        <v>-110</v>
      </c>
      <c r="M38" s="3">
        <f>'experience g(l)'!R43</f>
        <v>-110</v>
      </c>
      <c r="N38" s="3">
        <f>'experience g(l)'!S43</f>
        <v>-110</v>
      </c>
      <c r="O38" s="3">
        <f>'experience g(l)'!T43</f>
        <v>0</v>
      </c>
      <c r="P38" s="3">
        <f>'experience g(l)'!U43</f>
        <v>0</v>
      </c>
      <c r="Q38" s="3">
        <f>'experience g(l)'!V43</f>
        <v>0</v>
      </c>
      <c r="R38" s="3">
        <f>'experience g(l)'!W43</f>
        <v>0</v>
      </c>
      <c r="S38" s="3">
        <f>'experience g(l)'!X43</f>
        <v>0</v>
      </c>
      <c r="T38" s="3">
        <f>'experience g(l)'!Y43</f>
        <v>0</v>
      </c>
      <c r="AN38" s="3">
        <f t="shared" si="6"/>
        <v>-768</v>
      </c>
    </row>
    <row r="39" spans="1:41" s="3" customFormat="1" x14ac:dyDescent="0.2">
      <c r="A39" s="3" t="s">
        <v>95</v>
      </c>
      <c r="B39" s="3" t="s">
        <v>108</v>
      </c>
      <c r="D39" s="3">
        <f>'experience g(l)'!I44</f>
        <v>145</v>
      </c>
      <c r="E39" s="3">
        <f>'experience g(l)'!J44</f>
        <v>145</v>
      </c>
      <c r="F39" s="3">
        <f>'experience g(l)'!K44</f>
        <v>145</v>
      </c>
      <c r="G39" s="3">
        <f>'experience g(l)'!L44</f>
        <v>145</v>
      </c>
      <c r="H39" s="3">
        <f>'experience g(l)'!M44</f>
        <v>145</v>
      </c>
      <c r="I39" s="3">
        <f>'experience g(l)'!N44</f>
        <v>145</v>
      </c>
      <c r="J39" s="3">
        <f>'experience g(l)'!O44</f>
        <v>146</v>
      </c>
      <c r="K39" s="3">
        <f>'experience g(l)'!P44</f>
        <v>146</v>
      </c>
      <c r="L39" s="3">
        <f>'experience g(l)'!Q44</f>
        <v>146</v>
      </c>
      <c r="M39" s="3">
        <f>'experience g(l)'!R44</f>
        <v>146</v>
      </c>
      <c r="N39" s="3">
        <f>'experience g(l)'!S44</f>
        <v>146</v>
      </c>
      <c r="O39" s="3">
        <f>'experience g(l)'!T44</f>
        <v>146</v>
      </c>
      <c r="P39" s="3">
        <f>'experience g(l)'!U44</f>
        <v>0</v>
      </c>
      <c r="Q39" s="3">
        <f>'experience g(l)'!V44</f>
        <v>0</v>
      </c>
      <c r="R39" s="3">
        <f>'experience g(l)'!W44</f>
        <v>0</v>
      </c>
      <c r="S39" s="3">
        <f>'experience g(l)'!X44</f>
        <v>0</v>
      </c>
      <c r="T39" s="3">
        <f>'experience g(l)'!Y44</f>
        <v>0</v>
      </c>
      <c r="AN39" s="3">
        <f t="shared" si="6"/>
        <v>1166</v>
      </c>
      <c r="AO39" s="3">
        <v>1166</v>
      </c>
    </row>
    <row r="40" spans="1:41" s="3" customFormat="1" x14ac:dyDescent="0.2">
      <c r="A40" s="3" t="s">
        <v>96</v>
      </c>
      <c r="B40" s="3" t="s">
        <v>108</v>
      </c>
      <c r="D40" s="3">
        <f>'experience g(l)'!I45</f>
        <v>172</v>
      </c>
      <c r="E40" s="3">
        <f>'experience g(l)'!J45</f>
        <v>172</v>
      </c>
      <c r="F40" s="3">
        <f>'experience g(l)'!K45</f>
        <v>172</v>
      </c>
      <c r="G40" s="3">
        <f>'experience g(l)'!L45</f>
        <v>172</v>
      </c>
      <c r="H40" s="3">
        <f>'experience g(l)'!M45</f>
        <v>172</v>
      </c>
      <c r="I40" s="3">
        <f>'experience g(l)'!N45</f>
        <v>172</v>
      </c>
      <c r="J40" s="3">
        <f>'experience g(l)'!O45</f>
        <v>172</v>
      </c>
      <c r="K40" s="3">
        <f>'experience g(l)'!P45</f>
        <v>172</v>
      </c>
      <c r="L40" s="3">
        <f>'experience g(l)'!Q45</f>
        <v>172</v>
      </c>
      <c r="M40" s="3">
        <f>'experience g(l)'!R45</f>
        <v>172</v>
      </c>
      <c r="N40" s="3">
        <f>'experience g(l)'!S45</f>
        <v>172</v>
      </c>
      <c r="O40" s="3">
        <f>'experience g(l)'!T45</f>
        <v>171</v>
      </c>
      <c r="P40" s="3">
        <f>'experience g(l)'!U45</f>
        <v>171</v>
      </c>
      <c r="Q40" s="3">
        <f>'experience g(l)'!V45</f>
        <v>0</v>
      </c>
      <c r="R40" s="3">
        <f>'experience g(l)'!W45</f>
        <v>0</v>
      </c>
      <c r="S40" s="3">
        <f>'experience g(l)'!X45</f>
        <v>0</v>
      </c>
      <c r="T40" s="3">
        <f>'experience g(l)'!Y45</f>
        <v>0</v>
      </c>
      <c r="AN40" s="3">
        <f t="shared" si="6"/>
        <v>1546</v>
      </c>
      <c r="AO40" s="3">
        <v>1546</v>
      </c>
    </row>
    <row r="41" spans="1:41" s="3" customFormat="1" x14ac:dyDescent="0.2">
      <c r="A41" s="3" t="s">
        <v>97</v>
      </c>
      <c r="B41" s="3" t="s">
        <v>108</v>
      </c>
      <c r="D41" s="3">
        <f>'experience g(l)'!I46</f>
        <v>215</v>
      </c>
      <c r="E41" s="3">
        <f>'experience g(l)'!J46</f>
        <v>215</v>
      </c>
      <c r="F41" s="3">
        <f>'experience g(l)'!K46</f>
        <v>215</v>
      </c>
      <c r="G41" s="3">
        <f>'experience g(l)'!L46</f>
        <v>215</v>
      </c>
      <c r="H41" s="3">
        <f>'experience g(l)'!M46</f>
        <v>215</v>
      </c>
      <c r="I41" s="3">
        <f>'experience g(l)'!N46</f>
        <v>215</v>
      </c>
      <c r="J41" s="3">
        <f>'experience g(l)'!O46</f>
        <v>215</v>
      </c>
      <c r="K41" s="3">
        <f>'experience g(l)'!P46</f>
        <v>215</v>
      </c>
      <c r="L41" s="3">
        <f>'experience g(l)'!Q46</f>
        <v>216</v>
      </c>
      <c r="M41" s="3">
        <f>'experience g(l)'!R46</f>
        <v>216</v>
      </c>
      <c r="N41" s="3">
        <f>'experience g(l)'!S46</f>
        <v>216</v>
      </c>
      <c r="O41" s="3">
        <f>'experience g(l)'!T46</f>
        <v>216</v>
      </c>
      <c r="P41" s="3">
        <f>'experience g(l)'!U46</f>
        <v>216</v>
      </c>
      <c r="Q41" s="3">
        <f>'experience g(l)'!V46</f>
        <v>0</v>
      </c>
      <c r="R41" s="3">
        <f>'experience g(l)'!W46</f>
        <v>0</v>
      </c>
      <c r="S41" s="3">
        <f>'experience g(l)'!X46</f>
        <v>0</v>
      </c>
      <c r="T41" s="3">
        <f>'experience g(l)'!Y46</f>
        <v>0</v>
      </c>
      <c r="AN41" s="3">
        <f t="shared" si="6"/>
        <v>1940</v>
      </c>
      <c r="AO41" s="3">
        <v>1410</v>
      </c>
    </row>
    <row r="42" spans="1:41" s="3" customFormat="1" x14ac:dyDescent="0.2">
      <c r="A42" s="3" t="s">
        <v>98</v>
      </c>
      <c r="B42" s="3" t="s">
        <v>108</v>
      </c>
      <c r="E42" s="3">
        <f>'experience g(l)'!J47</f>
        <v>212</v>
      </c>
      <c r="F42" s="3">
        <f>'experience g(l)'!K47</f>
        <v>212</v>
      </c>
      <c r="G42" s="3">
        <f>'experience g(l)'!L47</f>
        <v>212</v>
      </c>
      <c r="H42" s="3">
        <f>'experience g(l)'!M47</f>
        <v>212</v>
      </c>
      <c r="I42" s="3">
        <f>'experience g(l)'!N47</f>
        <v>212</v>
      </c>
      <c r="J42" s="3">
        <f>'experience g(l)'!O47</f>
        <v>212</v>
      </c>
      <c r="K42" s="3">
        <f>'experience g(l)'!P47</f>
        <v>212</v>
      </c>
      <c r="L42" s="3">
        <f>'experience g(l)'!Q47</f>
        <v>212</v>
      </c>
      <c r="M42" s="3">
        <f>'experience g(l)'!R47</f>
        <v>212</v>
      </c>
      <c r="N42" s="3">
        <f>'experience g(l)'!S47</f>
        <v>212</v>
      </c>
      <c r="O42" s="3">
        <f>'experience g(l)'!T47</f>
        <v>211</v>
      </c>
      <c r="P42" s="3">
        <f>'experience g(l)'!U47</f>
        <v>211</v>
      </c>
      <c r="Q42" s="3">
        <f>'experience g(l)'!V47</f>
        <v>211</v>
      </c>
      <c r="R42" s="3">
        <f>'experience g(l)'!W47</f>
        <v>0</v>
      </c>
      <c r="S42" s="3">
        <f>'experience g(l)'!X47</f>
        <v>0</v>
      </c>
      <c r="T42" s="3">
        <f>'experience g(l)'!Y47</f>
        <v>0</v>
      </c>
      <c r="AN42" s="3">
        <f t="shared" si="6"/>
        <v>2117</v>
      </c>
    </row>
    <row r="43" spans="1:41" s="3" customFormat="1" x14ac:dyDescent="0.2">
      <c r="A43" s="3" t="s">
        <v>99</v>
      </c>
      <c r="B43" s="3" t="s">
        <v>108</v>
      </c>
      <c r="E43" s="3">
        <f>'experience g(l)'!J48</f>
        <v>0</v>
      </c>
      <c r="F43" s="3">
        <f>'experience g(l)'!K48</f>
        <v>319</v>
      </c>
      <c r="G43" s="3">
        <f>'experience g(l)'!L48</f>
        <v>319</v>
      </c>
      <c r="H43" s="3">
        <f>'experience g(l)'!M48</f>
        <v>319</v>
      </c>
      <c r="I43" s="3">
        <f>'experience g(l)'!N48</f>
        <v>319</v>
      </c>
      <c r="J43" s="3">
        <f>'experience g(l)'!O48</f>
        <v>319</v>
      </c>
      <c r="K43" s="3">
        <f>'experience g(l)'!P48</f>
        <v>319</v>
      </c>
      <c r="L43" s="3">
        <f>'experience g(l)'!Q48</f>
        <v>319</v>
      </c>
      <c r="M43" s="3">
        <f>'experience g(l)'!R48</f>
        <v>319</v>
      </c>
      <c r="N43" s="3">
        <f>'experience g(l)'!S48</f>
        <v>319</v>
      </c>
      <c r="O43" s="3">
        <f>'experience g(l)'!T48</f>
        <v>319</v>
      </c>
      <c r="P43" s="3">
        <f>'experience g(l)'!U48</f>
        <v>319</v>
      </c>
      <c r="Q43" s="3">
        <f>'experience g(l)'!V48</f>
        <v>319</v>
      </c>
      <c r="R43" s="3">
        <f>'experience g(l)'!W48</f>
        <v>319</v>
      </c>
      <c r="S43" s="3">
        <f>'experience g(l)'!X48</f>
        <v>319</v>
      </c>
      <c r="T43" s="3">
        <f>'experience g(l)'!Y48</f>
        <v>0</v>
      </c>
      <c r="AN43" s="3">
        <f t="shared" si="6"/>
        <v>3828</v>
      </c>
    </row>
    <row r="44" spans="1:41" s="3" customFormat="1" x14ac:dyDescent="0.2">
      <c r="A44" s="3" t="s">
        <v>100</v>
      </c>
      <c r="B44" s="3" t="s">
        <v>108</v>
      </c>
      <c r="D44" s="6"/>
      <c r="E44" s="6">
        <f>'experience g(l)'!J49</f>
        <v>0</v>
      </c>
      <c r="F44" s="6">
        <f>'experience g(l)'!K49</f>
        <v>0</v>
      </c>
      <c r="G44" s="6">
        <f>'experience g(l)'!L49</f>
        <v>165</v>
      </c>
      <c r="H44" s="6">
        <f>'experience g(l)'!M49</f>
        <v>165</v>
      </c>
      <c r="I44" s="6">
        <f>'experience g(l)'!N49</f>
        <v>165</v>
      </c>
      <c r="J44" s="6">
        <f>'experience g(l)'!O49</f>
        <v>165</v>
      </c>
      <c r="K44" s="6">
        <f>'experience g(l)'!P49</f>
        <v>165</v>
      </c>
      <c r="L44" s="6">
        <f>'experience g(l)'!Q49</f>
        <v>165</v>
      </c>
      <c r="M44" s="6">
        <f>'experience g(l)'!R49</f>
        <v>165</v>
      </c>
      <c r="N44" s="6">
        <f>'experience g(l)'!S49</f>
        <v>165</v>
      </c>
      <c r="O44" s="6">
        <f>'experience g(l)'!T49</f>
        <v>165</v>
      </c>
      <c r="P44" s="6">
        <f>'experience g(l)'!U49</f>
        <v>166</v>
      </c>
      <c r="Q44" s="6">
        <f>'experience g(l)'!V49</f>
        <v>166</v>
      </c>
      <c r="R44" s="6">
        <f>'experience g(l)'!W49</f>
        <v>166</v>
      </c>
      <c r="S44" s="6">
        <f>'experience g(l)'!X49</f>
        <v>166</v>
      </c>
      <c r="T44" s="6">
        <f>'experience g(l)'!Y49</f>
        <v>166</v>
      </c>
      <c r="U44" s="45"/>
      <c r="V44" s="45"/>
      <c r="W44" s="45"/>
      <c r="X44" s="45"/>
      <c r="Y44" s="45"/>
      <c r="Z44" s="45"/>
      <c r="AA44" s="45"/>
      <c r="AB44" s="45"/>
      <c r="AC44" s="45"/>
      <c r="AD44" s="45"/>
      <c r="AE44" s="45"/>
      <c r="AF44" s="45"/>
      <c r="AG44" s="45"/>
      <c r="AH44" s="45"/>
      <c r="AI44" s="45"/>
      <c r="AJ44" s="45"/>
      <c r="AK44" s="45"/>
      <c r="AL44" s="45"/>
      <c r="AN44" s="3">
        <f t="shared" si="6"/>
        <v>2150</v>
      </c>
    </row>
    <row r="45" spans="1:41" s="25" customFormat="1" x14ac:dyDescent="0.2">
      <c r="A45" s="25" t="s">
        <v>124</v>
      </c>
      <c r="D45" s="26">
        <f>SUM(D35:D44)</f>
        <v>439</v>
      </c>
      <c r="E45" s="26">
        <f t="shared" ref="E45:AO45" si="8">SUM(E35:E44)</f>
        <v>651</v>
      </c>
      <c r="F45" s="26">
        <f t="shared" si="8"/>
        <v>970</v>
      </c>
      <c r="G45" s="26">
        <f t="shared" si="8"/>
        <v>1135</v>
      </c>
      <c r="H45" s="26">
        <f t="shared" si="8"/>
        <v>1135</v>
      </c>
      <c r="I45" s="26">
        <f t="shared" si="8"/>
        <v>1136</v>
      </c>
      <c r="J45" s="26">
        <f t="shared" si="8"/>
        <v>1136</v>
      </c>
      <c r="K45" s="26">
        <f t="shared" si="8"/>
        <v>1136</v>
      </c>
      <c r="L45" s="26">
        <f t="shared" si="8"/>
        <v>1138</v>
      </c>
      <c r="M45" s="26">
        <f t="shared" si="8"/>
        <v>1186</v>
      </c>
      <c r="N45" s="26">
        <f t="shared" si="8"/>
        <v>1120</v>
      </c>
      <c r="O45" s="26">
        <f t="shared" si="8"/>
        <v>1228</v>
      </c>
      <c r="P45" s="26">
        <f t="shared" si="8"/>
        <v>1083</v>
      </c>
      <c r="Q45" s="26">
        <f t="shared" si="8"/>
        <v>696</v>
      </c>
      <c r="R45" s="26">
        <f t="shared" si="8"/>
        <v>485</v>
      </c>
      <c r="S45" s="26">
        <f t="shared" si="8"/>
        <v>485</v>
      </c>
      <c r="T45" s="26">
        <f t="shared" si="8"/>
        <v>166</v>
      </c>
      <c r="U45" s="39"/>
      <c r="V45" s="39"/>
      <c r="W45" s="39"/>
      <c r="X45" s="39"/>
      <c r="Y45" s="39"/>
      <c r="Z45" s="39"/>
      <c r="AA45" s="39"/>
      <c r="AB45" s="39"/>
      <c r="AC45" s="39"/>
      <c r="AD45" s="39"/>
      <c r="AE45" s="39"/>
      <c r="AF45" s="39"/>
      <c r="AG45" s="39"/>
      <c r="AH45" s="39"/>
      <c r="AI45" s="39"/>
      <c r="AJ45" s="39"/>
      <c r="AK45" s="39"/>
      <c r="AL45" s="39"/>
      <c r="AN45" s="26">
        <f t="shared" si="8"/>
        <v>12130</v>
      </c>
      <c r="AO45" s="26">
        <f t="shared" si="8"/>
        <v>4519</v>
      </c>
    </row>
    <row r="46" spans="1:41" s="3" customFormat="1" x14ac:dyDescent="0.2"/>
    <row r="47" spans="1:41" s="3" customFormat="1" x14ac:dyDescent="0.2">
      <c r="A47" s="28" t="s">
        <v>127</v>
      </c>
    </row>
    <row r="48" spans="1:41" s="3" customFormat="1" x14ac:dyDescent="0.2">
      <c r="A48" s="3" t="s">
        <v>93</v>
      </c>
      <c r="B48" s="3" t="s">
        <v>31</v>
      </c>
      <c r="H48" s="3">
        <f>-H37</f>
        <v>-66</v>
      </c>
      <c r="I48" s="3">
        <f t="shared" ref="I48:O48" si="9">-I37</f>
        <v>-66</v>
      </c>
      <c r="J48" s="3">
        <f t="shared" si="9"/>
        <v>-66</v>
      </c>
      <c r="K48" s="3">
        <f t="shared" si="9"/>
        <v>-66</v>
      </c>
      <c r="L48" s="3">
        <f t="shared" si="9"/>
        <v>-67</v>
      </c>
      <c r="M48" s="3">
        <f t="shared" si="9"/>
        <v>-66</v>
      </c>
      <c r="N48" s="3">
        <f t="shared" si="9"/>
        <v>0</v>
      </c>
      <c r="O48" s="3">
        <f t="shared" si="9"/>
        <v>0</v>
      </c>
      <c r="P48" s="3">
        <f>-P37</f>
        <v>0</v>
      </c>
      <c r="AN48" s="3">
        <f>SUM(H48:AM48)</f>
        <v>-397</v>
      </c>
    </row>
    <row r="49" spans="1:40" s="3" customFormat="1" x14ac:dyDescent="0.2">
      <c r="A49" s="3" t="s">
        <v>95</v>
      </c>
      <c r="B49" s="3" t="s">
        <v>31</v>
      </c>
      <c r="H49" s="3">
        <f>-H39</f>
        <v>-145</v>
      </c>
      <c r="I49" s="3">
        <f t="shared" ref="I49:O49" si="10">-I39</f>
        <v>-145</v>
      </c>
      <c r="J49" s="3">
        <f t="shared" si="10"/>
        <v>-146</v>
      </c>
      <c r="K49" s="3">
        <f t="shared" si="10"/>
        <v>-146</v>
      </c>
      <c r="L49" s="3">
        <f t="shared" si="10"/>
        <v>-146</v>
      </c>
      <c r="M49" s="3">
        <f t="shared" si="10"/>
        <v>-146</v>
      </c>
      <c r="N49" s="3">
        <f t="shared" si="10"/>
        <v>-146</v>
      </c>
      <c r="O49" s="3">
        <f t="shared" si="10"/>
        <v>-146</v>
      </c>
      <c r="P49" s="3">
        <f>-P39</f>
        <v>0</v>
      </c>
      <c r="AN49" s="3">
        <f>SUM(H49:AM49)</f>
        <v>-1166</v>
      </c>
    </row>
    <row r="50" spans="1:40" s="3" customFormat="1" x14ac:dyDescent="0.2">
      <c r="A50" s="3" t="s">
        <v>96</v>
      </c>
      <c r="B50" s="3" t="s">
        <v>31</v>
      </c>
      <c r="H50" s="3">
        <f>-H40</f>
        <v>-172</v>
      </c>
      <c r="I50" s="3">
        <f t="shared" ref="I50:O50" si="11">-I40</f>
        <v>-172</v>
      </c>
      <c r="J50" s="3">
        <f t="shared" si="11"/>
        <v>-172</v>
      </c>
      <c r="K50" s="3">
        <f t="shared" si="11"/>
        <v>-172</v>
      </c>
      <c r="L50" s="3">
        <f t="shared" si="11"/>
        <v>-172</v>
      </c>
      <c r="M50" s="3">
        <f t="shared" si="11"/>
        <v>-172</v>
      </c>
      <c r="N50" s="3">
        <f t="shared" si="11"/>
        <v>-172</v>
      </c>
      <c r="O50" s="3">
        <f t="shared" si="11"/>
        <v>-171</v>
      </c>
      <c r="P50" s="3">
        <f>-P40</f>
        <v>-171</v>
      </c>
      <c r="AN50" s="3">
        <f>SUM(H50:AM50)</f>
        <v>-1546</v>
      </c>
    </row>
    <row r="51" spans="1:40" s="3" customFormat="1" x14ac:dyDescent="0.2">
      <c r="A51" s="3" t="s">
        <v>97</v>
      </c>
      <c r="B51" s="9" t="s">
        <v>131</v>
      </c>
      <c r="H51" s="6">
        <v>-156</v>
      </c>
      <c r="I51" s="6">
        <v>-156</v>
      </c>
      <c r="J51" s="6">
        <v>-156</v>
      </c>
      <c r="K51" s="6">
        <v>-157</v>
      </c>
      <c r="L51" s="6">
        <v>-157</v>
      </c>
      <c r="M51" s="6">
        <v>-157</v>
      </c>
      <c r="N51" s="6">
        <v>-157</v>
      </c>
      <c r="O51" s="6">
        <v>-157</v>
      </c>
      <c r="P51" s="6">
        <v>-157</v>
      </c>
      <c r="Q51" s="6"/>
      <c r="R51" s="6"/>
      <c r="S51" s="6"/>
      <c r="T51" s="6"/>
      <c r="U51" s="45"/>
      <c r="V51" s="45"/>
      <c r="W51" s="45"/>
      <c r="X51" s="45"/>
      <c r="Y51" s="45"/>
      <c r="Z51" s="45"/>
      <c r="AA51" s="45"/>
      <c r="AB51" s="45"/>
      <c r="AC51" s="45"/>
      <c r="AD51" s="45"/>
      <c r="AE51" s="45"/>
      <c r="AF51" s="45"/>
      <c r="AG51" s="45"/>
      <c r="AH51" s="45"/>
      <c r="AI51" s="45"/>
      <c r="AJ51" s="45"/>
      <c r="AK51" s="45"/>
      <c r="AL51" s="45"/>
      <c r="AN51" s="3">
        <f>SUM(H51:AM51)</f>
        <v>-1410</v>
      </c>
    </row>
    <row r="52" spans="1:40" s="25" customFormat="1" x14ac:dyDescent="0.2">
      <c r="A52" s="25" t="s">
        <v>128</v>
      </c>
      <c r="B52" s="3" t="s">
        <v>31</v>
      </c>
      <c r="H52" s="26">
        <f>SUM(H48:H51)</f>
        <v>-539</v>
      </c>
      <c r="I52" s="26">
        <f t="shared" ref="I52:O52" si="12">SUM(I48:I51)</f>
        <v>-539</v>
      </c>
      <c r="J52" s="26">
        <f t="shared" si="12"/>
        <v>-540</v>
      </c>
      <c r="K52" s="26">
        <f t="shared" si="12"/>
        <v>-541</v>
      </c>
      <c r="L52" s="26">
        <f t="shared" si="12"/>
        <v>-542</v>
      </c>
      <c r="M52" s="26">
        <f t="shared" si="12"/>
        <v>-541</v>
      </c>
      <c r="N52" s="26">
        <f t="shared" si="12"/>
        <v>-475</v>
      </c>
      <c r="O52" s="26">
        <f t="shared" si="12"/>
        <v>-474</v>
      </c>
      <c r="P52" s="26">
        <f>SUM(P48:P51)</f>
        <v>-328</v>
      </c>
      <c r="Q52" s="26"/>
      <c r="R52" s="26"/>
      <c r="S52" s="26"/>
      <c r="T52" s="26"/>
      <c r="U52" s="39"/>
      <c r="V52" s="39"/>
      <c r="W52" s="39"/>
      <c r="X52" s="39"/>
      <c r="Y52" s="39"/>
      <c r="Z52" s="39"/>
      <c r="AA52" s="39"/>
      <c r="AB52" s="39"/>
      <c r="AC52" s="39"/>
      <c r="AD52" s="39"/>
      <c r="AE52" s="39"/>
      <c r="AF52" s="39"/>
      <c r="AG52" s="39"/>
      <c r="AH52" s="39"/>
      <c r="AI52" s="39"/>
      <c r="AJ52" s="39"/>
      <c r="AK52" s="39"/>
      <c r="AL52" s="39"/>
      <c r="AN52" s="26">
        <f>SUM(AN48:AN51)</f>
        <v>-4519</v>
      </c>
    </row>
    <row r="53" spans="1:40" s="3" customFormat="1" x14ac:dyDescent="0.2"/>
    <row r="54" spans="1:40" s="3" customFormat="1" x14ac:dyDescent="0.2">
      <c r="AN54" s="16" t="s">
        <v>106</v>
      </c>
    </row>
    <row r="55" spans="1:40" s="3" customFormat="1" x14ac:dyDescent="0.2">
      <c r="A55" s="28" t="s">
        <v>129</v>
      </c>
      <c r="AN55" s="391" t="s">
        <v>447</v>
      </c>
    </row>
    <row r="56" spans="1:40" s="3" customFormat="1" x14ac:dyDescent="0.2">
      <c r="A56" s="3" t="s">
        <v>92</v>
      </c>
      <c r="B56" s="3" t="s">
        <v>108</v>
      </c>
      <c r="H56" s="3">
        <f>'experience g(l)'!M41</f>
        <v>-50</v>
      </c>
      <c r="I56" s="3">
        <f>'experience g(l)'!N41</f>
        <v>-49</v>
      </c>
      <c r="J56" s="3">
        <f>'experience g(l)'!O41</f>
        <v>-49</v>
      </c>
      <c r="K56" s="3">
        <f>'experience g(l)'!P41</f>
        <v>-49</v>
      </c>
      <c r="L56" s="3">
        <f>'experience g(l)'!Q41</f>
        <v>-49</v>
      </c>
      <c r="AN56" s="3">
        <f>SUM(W56:AL56)</f>
        <v>0</v>
      </c>
    </row>
    <row r="57" spans="1:40" s="3" customFormat="1" x14ac:dyDescent="0.2">
      <c r="A57" s="3" t="s">
        <v>94</v>
      </c>
      <c r="B57" s="3" t="s">
        <v>108</v>
      </c>
      <c r="H57" s="3">
        <f>'experience g(l)'!M43</f>
        <v>-109</v>
      </c>
      <c r="I57" s="3">
        <f>'experience g(l)'!N43</f>
        <v>-109</v>
      </c>
      <c r="J57" s="3">
        <f>'experience g(l)'!O43</f>
        <v>-110</v>
      </c>
      <c r="K57" s="3">
        <f>'experience g(l)'!P43</f>
        <v>-110</v>
      </c>
      <c r="L57" s="3">
        <f>'experience g(l)'!Q43</f>
        <v>-110</v>
      </c>
      <c r="M57" s="3">
        <f>'experience g(l)'!R43</f>
        <v>-110</v>
      </c>
      <c r="N57" s="3">
        <f>'experience g(l)'!S43</f>
        <v>-110</v>
      </c>
      <c r="AN57" s="3">
        <f t="shared" ref="AN57:AN76" si="13">SUM(W57:AL57)</f>
        <v>0</v>
      </c>
    </row>
    <row r="58" spans="1:40" s="3" customFormat="1" x14ac:dyDescent="0.2">
      <c r="A58" t="s">
        <v>97</v>
      </c>
      <c r="B58" s="3" t="s">
        <v>31</v>
      </c>
      <c r="H58" s="3">
        <f>H41+H51</f>
        <v>59</v>
      </c>
      <c r="I58" s="3">
        <f t="shared" ref="I58:P58" si="14">I41+I51</f>
        <v>59</v>
      </c>
      <c r="J58" s="3">
        <f t="shared" si="14"/>
        <v>59</v>
      </c>
      <c r="K58" s="3">
        <f t="shared" si="14"/>
        <v>58</v>
      </c>
      <c r="L58" s="3">
        <f t="shared" si="14"/>
        <v>59</v>
      </c>
      <c r="M58" s="3">
        <f t="shared" si="14"/>
        <v>59</v>
      </c>
      <c r="N58" s="3">
        <f t="shared" si="14"/>
        <v>59</v>
      </c>
      <c r="O58" s="3">
        <f t="shared" si="14"/>
        <v>59</v>
      </c>
      <c r="P58" s="3">
        <f t="shared" si="14"/>
        <v>59</v>
      </c>
      <c r="AN58" s="3">
        <f t="shared" si="13"/>
        <v>0</v>
      </c>
    </row>
    <row r="59" spans="1:40" s="3" customFormat="1" x14ac:dyDescent="0.2">
      <c r="A59" t="s">
        <v>98</v>
      </c>
      <c r="B59" s="3" t="s">
        <v>108</v>
      </c>
      <c r="H59" s="3">
        <f>'experience g(l)'!M47</f>
        <v>212</v>
      </c>
      <c r="I59" s="3">
        <f>'experience g(l)'!N47</f>
        <v>212</v>
      </c>
      <c r="J59" s="3">
        <f>'experience g(l)'!O47</f>
        <v>212</v>
      </c>
      <c r="K59" s="3">
        <f>'experience g(l)'!P47</f>
        <v>212</v>
      </c>
      <c r="L59" s="3">
        <f>'experience g(l)'!Q47</f>
        <v>212</v>
      </c>
      <c r="M59" s="3">
        <f>'experience g(l)'!R47</f>
        <v>212</v>
      </c>
      <c r="N59" s="3">
        <f>'experience g(l)'!S47</f>
        <v>212</v>
      </c>
      <c r="O59" s="3">
        <f>'experience g(l)'!T47</f>
        <v>211</v>
      </c>
      <c r="P59" s="3">
        <f>'experience g(l)'!U47</f>
        <v>211</v>
      </c>
      <c r="Q59" s="3">
        <f>'experience g(l)'!V47</f>
        <v>211</v>
      </c>
      <c r="R59" s="3">
        <f>'experience g(l)'!W47</f>
        <v>0</v>
      </c>
      <c r="S59" s="3">
        <f>'experience g(l)'!X47</f>
        <v>0</v>
      </c>
      <c r="T59" s="3">
        <f>'experience g(l)'!Y47</f>
        <v>0</v>
      </c>
      <c r="AN59" s="3">
        <f t="shared" si="13"/>
        <v>0</v>
      </c>
    </row>
    <row r="60" spans="1:40" s="3" customFormat="1" x14ac:dyDescent="0.2">
      <c r="A60" t="s">
        <v>99</v>
      </c>
      <c r="B60" s="3" t="s">
        <v>108</v>
      </c>
      <c r="H60" s="3">
        <f>'experience g(l)'!M48</f>
        <v>319</v>
      </c>
      <c r="I60" s="3">
        <f>'experience g(l)'!N48</f>
        <v>319</v>
      </c>
      <c r="J60" s="3">
        <f>'experience g(l)'!O48</f>
        <v>319</v>
      </c>
      <c r="K60" s="3">
        <f>'experience g(l)'!P48</f>
        <v>319</v>
      </c>
      <c r="L60" s="3">
        <f>'experience g(l)'!Q48</f>
        <v>319</v>
      </c>
      <c r="M60" s="3">
        <f>'experience g(l)'!R48</f>
        <v>319</v>
      </c>
      <c r="N60" s="3">
        <f>'experience g(l)'!S48</f>
        <v>319</v>
      </c>
      <c r="O60" s="3">
        <f>'experience g(l)'!T48</f>
        <v>319</v>
      </c>
      <c r="P60" s="3">
        <f>'experience g(l)'!U48</f>
        <v>319</v>
      </c>
      <c r="Q60" s="3">
        <f>'experience g(l)'!V48</f>
        <v>319</v>
      </c>
      <c r="R60" s="3">
        <f>'experience g(l)'!W48</f>
        <v>319</v>
      </c>
      <c r="S60" s="3">
        <f>'experience g(l)'!X48</f>
        <v>319</v>
      </c>
      <c r="T60" s="3">
        <f>'experience g(l)'!Y48</f>
        <v>0</v>
      </c>
      <c r="AN60" s="3">
        <f t="shared" si="13"/>
        <v>0</v>
      </c>
    </row>
    <row r="61" spans="1:40" s="3" customFormat="1" x14ac:dyDescent="0.2">
      <c r="A61" t="s">
        <v>100</v>
      </c>
      <c r="B61" s="3" t="s">
        <v>108</v>
      </c>
      <c r="H61" s="3">
        <f>'experience g(l)'!M49</f>
        <v>165</v>
      </c>
      <c r="I61" s="3">
        <f>'experience g(l)'!N49</f>
        <v>165</v>
      </c>
      <c r="J61" s="3">
        <f>'experience g(l)'!O49</f>
        <v>165</v>
      </c>
      <c r="K61" s="3">
        <f>'experience g(l)'!P49</f>
        <v>165</v>
      </c>
      <c r="L61" s="3">
        <f>'experience g(l)'!Q49</f>
        <v>165</v>
      </c>
      <c r="M61" s="3">
        <f>'experience g(l)'!R49</f>
        <v>165</v>
      </c>
      <c r="N61" s="3">
        <f>'experience g(l)'!S49</f>
        <v>165</v>
      </c>
      <c r="O61" s="3">
        <f>'experience g(l)'!T49</f>
        <v>165</v>
      </c>
      <c r="P61" s="3">
        <f>'experience g(l)'!U49</f>
        <v>166</v>
      </c>
      <c r="Q61" s="3">
        <f>'experience g(l)'!V49</f>
        <v>166</v>
      </c>
      <c r="R61" s="3">
        <f>'experience g(l)'!W49</f>
        <v>166</v>
      </c>
      <c r="S61" s="3">
        <f>'experience g(l)'!X49</f>
        <v>166</v>
      </c>
      <c r="T61" s="3">
        <f>'experience g(l)'!Y49</f>
        <v>166</v>
      </c>
      <c r="AN61" s="3">
        <f t="shared" si="13"/>
        <v>0</v>
      </c>
    </row>
    <row r="62" spans="1:40" s="3" customFormat="1" x14ac:dyDescent="0.2">
      <c r="A62" t="s">
        <v>101</v>
      </c>
      <c r="B62" s="3" t="s">
        <v>108</v>
      </c>
      <c r="H62" s="45">
        <f>'experience g(l)'!M50</f>
        <v>-126</v>
      </c>
      <c r="I62" s="45">
        <f>'experience g(l)'!N50</f>
        <v>-126</v>
      </c>
      <c r="J62" s="45">
        <f>'experience g(l)'!O50</f>
        <v>-126</v>
      </c>
      <c r="K62" s="45">
        <f>'experience g(l)'!P50</f>
        <v>-126</v>
      </c>
      <c r="L62" s="45">
        <f>'experience g(l)'!Q50</f>
        <v>-126</v>
      </c>
      <c r="M62" s="45">
        <f>'experience g(l)'!R50</f>
        <v>-126</v>
      </c>
      <c r="N62" s="45">
        <f>'experience g(l)'!S50</f>
        <v>-126</v>
      </c>
      <c r="O62" s="45">
        <f>'experience g(l)'!T50</f>
        <v>-126</v>
      </c>
      <c r="P62" s="45">
        <f>'experience g(l)'!U50</f>
        <v>-126</v>
      </c>
      <c r="Q62" s="45">
        <f>'experience g(l)'!V50</f>
        <v>-126</v>
      </c>
      <c r="R62" s="45">
        <f>'experience g(l)'!W50</f>
        <v>-126</v>
      </c>
      <c r="S62" s="45">
        <f>'experience g(l)'!X50</f>
        <v>-126</v>
      </c>
      <c r="T62" s="45">
        <f>'experience g(l)'!Y50</f>
        <v>-127</v>
      </c>
      <c r="U62" s="45"/>
      <c r="V62" s="45"/>
      <c r="W62" s="45"/>
      <c r="X62" s="45"/>
      <c r="Y62" s="45"/>
      <c r="Z62" s="45"/>
      <c r="AA62" s="45"/>
      <c r="AB62" s="45"/>
      <c r="AC62" s="45"/>
      <c r="AD62" s="45"/>
      <c r="AE62" s="45"/>
      <c r="AF62" s="45"/>
      <c r="AG62" s="45"/>
      <c r="AH62" s="45"/>
      <c r="AI62" s="45"/>
      <c r="AJ62" s="45"/>
      <c r="AK62" s="45"/>
      <c r="AL62" s="45"/>
      <c r="AN62" s="3">
        <f t="shared" si="13"/>
        <v>0</v>
      </c>
    </row>
    <row r="63" spans="1:40" s="3" customFormat="1" x14ac:dyDescent="0.2">
      <c r="A63" t="s">
        <v>102</v>
      </c>
      <c r="B63" s="3" t="s">
        <v>108</v>
      </c>
      <c r="H63" s="45"/>
      <c r="I63" s="45">
        <f>'experience g(l)'!N51</f>
        <v>22</v>
      </c>
      <c r="J63" s="45">
        <f>'experience g(l)'!O51</f>
        <v>22</v>
      </c>
      <c r="K63" s="45">
        <f>'experience g(l)'!P51</f>
        <v>22</v>
      </c>
      <c r="L63" s="45">
        <f>'experience g(l)'!Q51</f>
        <v>22</v>
      </c>
      <c r="M63" s="45">
        <f>'experience g(l)'!R51</f>
        <v>22</v>
      </c>
      <c r="N63" s="45">
        <f>'experience g(l)'!S51</f>
        <v>22</v>
      </c>
      <c r="O63" s="45">
        <f>'experience g(l)'!T51</f>
        <v>22</v>
      </c>
      <c r="P63" s="45">
        <f>'experience g(l)'!U51</f>
        <v>22</v>
      </c>
      <c r="Q63" s="45">
        <f>'experience g(l)'!V51</f>
        <v>21</v>
      </c>
      <c r="R63" s="45">
        <f>'experience g(l)'!W51</f>
        <v>21</v>
      </c>
      <c r="S63" s="45">
        <f>'experience g(l)'!X51</f>
        <v>21</v>
      </c>
      <c r="T63" s="45">
        <f>'experience g(l)'!Y51</f>
        <v>21</v>
      </c>
      <c r="U63" s="45">
        <f>'experience g(l)'!Z51</f>
        <v>21</v>
      </c>
      <c r="V63" s="45"/>
      <c r="W63" s="45"/>
      <c r="X63" s="45"/>
      <c r="Y63" s="45"/>
      <c r="Z63" s="45"/>
      <c r="AA63" s="45"/>
      <c r="AB63" s="45"/>
      <c r="AC63" s="45"/>
      <c r="AD63" s="45"/>
      <c r="AE63" s="45"/>
      <c r="AF63" s="45"/>
      <c r="AG63" s="45"/>
      <c r="AH63" s="45"/>
      <c r="AI63" s="45"/>
      <c r="AJ63" s="45"/>
      <c r="AK63" s="45"/>
      <c r="AL63" s="45"/>
      <c r="AN63" s="3">
        <f t="shared" si="13"/>
        <v>0</v>
      </c>
    </row>
    <row r="64" spans="1:40" s="3" customFormat="1" x14ac:dyDescent="0.2">
      <c r="A64" t="s">
        <v>308</v>
      </c>
      <c r="B64" s="3" t="s">
        <v>108</v>
      </c>
      <c r="H64" s="45"/>
      <c r="I64" s="45"/>
      <c r="J64" s="45">
        <f>'experience g(l)'!O52</f>
        <v>-48</v>
      </c>
      <c r="K64" s="45">
        <f>'experience g(l)'!P52</f>
        <v>-48</v>
      </c>
      <c r="L64" s="45">
        <f>'experience g(l)'!Q52</f>
        <v>-48</v>
      </c>
      <c r="M64" s="45">
        <f>'experience g(l)'!R52</f>
        <v>-48</v>
      </c>
      <c r="N64" s="45">
        <f>'experience g(l)'!S52</f>
        <v>-48</v>
      </c>
      <c r="O64" s="45">
        <f>'experience g(l)'!T52</f>
        <v>-48</v>
      </c>
      <c r="P64" s="45">
        <f>'experience g(l)'!U52</f>
        <v>-48</v>
      </c>
      <c r="Q64" s="45">
        <f>'experience g(l)'!V52</f>
        <v>-48</v>
      </c>
      <c r="R64" s="45">
        <f>'experience g(l)'!W52</f>
        <v>-48</v>
      </c>
      <c r="S64" s="45">
        <f>'experience g(l)'!X52</f>
        <v>-48</v>
      </c>
      <c r="T64" s="45">
        <f>'experience g(l)'!Y52</f>
        <v>-48</v>
      </c>
      <c r="U64" s="45">
        <f>'experience g(l)'!Z52</f>
        <v>-48</v>
      </c>
      <c r="V64" s="45">
        <f>'experience g(l)'!AA52</f>
        <v>-47</v>
      </c>
      <c r="W64" s="45">
        <f>'experience g(l)'!AB52</f>
        <v>0</v>
      </c>
      <c r="X64" s="45"/>
      <c r="Y64" s="45"/>
      <c r="Z64" s="45"/>
      <c r="AA64" s="45"/>
      <c r="AB64" s="45"/>
      <c r="AC64" s="45"/>
      <c r="AD64" s="45"/>
      <c r="AE64" s="45"/>
      <c r="AF64" s="45"/>
      <c r="AG64" s="45"/>
      <c r="AH64" s="45"/>
      <c r="AI64" s="45"/>
      <c r="AJ64" s="45"/>
      <c r="AK64" s="45"/>
      <c r="AL64" s="45"/>
      <c r="AN64" s="3">
        <f t="shared" si="13"/>
        <v>0</v>
      </c>
    </row>
    <row r="65" spans="1:40" s="3" customFormat="1" x14ac:dyDescent="0.2">
      <c r="A65" t="s">
        <v>310</v>
      </c>
      <c r="B65" s="3" t="s">
        <v>108</v>
      </c>
      <c r="H65" s="45"/>
      <c r="I65" s="45"/>
      <c r="J65" s="45"/>
      <c r="K65" s="45">
        <f>'experience g(l)'!P53</f>
        <v>23</v>
      </c>
      <c r="L65" s="45">
        <f>'experience g(l)'!Q53</f>
        <v>23</v>
      </c>
      <c r="M65" s="45">
        <f>'experience g(l)'!R53</f>
        <v>23</v>
      </c>
      <c r="N65" s="45">
        <f>'experience g(l)'!S53</f>
        <v>23</v>
      </c>
      <c r="O65" s="45">
        <f>'experience g(l)'!T53</f>
        <v>23</v>
      </c>
      <c r="P65" s="45">
        <f>'experience g(l)'!U53</f>
        <v>23</v>
      </c>
      <c r="Q65" s="45">
        <f>'experience g(l)'!V53</f>
        <v>23</v>
      </c>
      <c r="R65" s="45">
        <f>'experience g(l)'!W53</f>
        <v>23</v>
      </c>
      <c r="S65" s="45">
        <f>'experience g(l)'!X53</f>
        <v>23</v>
      </c>
      <c r="T65" s="45">
        <f>'experience g(l)'!Y53</f>
        <v>23</v>
      </c>
      <c r="U65" s="45">
        <f>'experience g(l)'!Z53</f>
        <v>23</v>
      </c>
      <c r="V65" s="45">
        <f>'experience g(l)'!AA53</f>
        <v>22</v>
      </c>
      <c r="W65" s="45">
        <f>'experience g(l)'!AB53</f>
        <v>22</v>
      </c>
      <c r="X65" s="45"/>
      <c r="Y65" s="45"/>
      <c r="Z65" s="45"/>
      <c r="AA65" s="45"/>
      <c r="AB65" s="45"/>
      <c r="AC65" s="45"/>
      <c r="AD65" s="45"/>
      <c r="AE65" s="45"/>
      <c r="AF65" s="45"/>
      <c r="AG65" s="45"/>
      <c r="AH65" s="45"/>
      <c r="AI65" s="45"/>
      <c r="AJ65" s="45"/>
      <c r="AK65" s="45"/>
      <c r="AL65" s="45"/>
      <c r="AN65" s="3">
        <f t="shared" si="13"/>
        <v>22</v>
      </c>
    </row>
    <row r="66" spans="1:40" s="3" customFormat="1" x14ac:dyDescent="0.2">
      <c r="A66" t="s">
        <v>311</v>
      </c>
      <c r="B66" s="3" t="s">
        <v>108</v>
      </c>
      <c r="H66" s="45"/>
      <c r="I66" s="45"/>
      <c r="J66" s="45"/>
      <c r="K66" s="45"/>
      <c r="L66" s="45"/>
      <c r="M66" s="45">
        <f>'experience g(l)'!R54</f>
        <v>-46</v>
      </c>
      <c r="N66" s="45">
        <f>'experience g(l)'!S54</f>
        <v>-46</v>
      </c>
      <c r="O66" s="45">
        <f>'experience g(l)'!T54</f>
        <v>-46</v>
      </c>
      <c r="P66" s="45">
        <f>'experience g(l)'!U54</f>
        <v>-46</v>
      </c>
      <c r="Q66" s="45">
        <f>'experience g(l)'!V54</f>
        <v>-46</v>
      </c>
      <c r="R66" s="45">
        <f>'experience g(l)'!W54</f>
        <v>-46</v>
      </c>
      <c r="S66" s="45">
        <f>'experience g(l)'!X54</f>
        <v>-46</v>
      </c>
      <c r="T66" s="45">
        <f>'experience g(l)'!Y54</f>
        <v>-46</v>
      </c>
      <c r="U66" s="45">
        <f>'experience g(l)'!Z54</f>
        <v>-46</v>
      </c>
      <c r="V66" s="45">
        <f>'experience g(l)'!AA54</f>
        <v>-47</v>
      </c>
      <c r="W66" s="45">
        <f>'experience g(l)'!AB54</f>
        <v>-47</v>
      </c>
      <c r="X66" s="45">
        <f>'experience g(l)'!AC54</f>
        <v>-47</v>
      </c>
      <c r="Y66" s="45">
        <f>'experience g(l)'!AD54</f>
        <v>-47</v>
      </c>
      <c r="Z66" s="45"/>
      <c r="AA66" s="45"/>
      <c r="AB66" s="45"/>
      <c r="AC66" s="45"/>
      <c r="AD66" s="45"/>
      <c r="AE66" s="45"/>
      <c r="AF66" s="45"/>
      <c r="AG66" s="45"/>
      <c r="AH66" s="45"/>
      <c r="AI66" s="45"/>
      <c r="AJ66" s="45"/>
      <c r="AK66" s="45"/>
      <c r="AL66" s="45"/>
      <c r="AN66" s="3">
        <f t="shared" si="13"/>
        <v>-141</v>
      </c>
    </row>
    <row r="67" spans="1:40" s="3" customFormat="1" x14ac:dyDescent="0.2">
      <c r="A67" t="s">
        <v>312</v>
      </c>
      <c r="B67" s="3" t="s">
        <v>108</v>
      </c>
      <c r="H67" s="45"/>
      <c r="I67" s="45"/>
      <c r="J67" s="45"/>
      <c r="K67" s="45"/>
      <c r="L67" s="45"/>
      <c r="M67" s="45"/>
      <c r="N67" s="45">
        <f>'experience g(l)'!S55</f>
        <v>240</v>
      </c>
      <c r="O67" s="45">
        <f>'experience g(l)'!T55</f>
        <v>240</v>
      </c>
      <c r="P67" s="45">
        <f>'experience g(l)'!U55</f>
        <v>240</v>
      </c>
      <c r="Q67" s="45">
        <f>'experience g(l)'!V55</f>
        <v>240</v>
      </c>
      <c r="R67" s="45">
        <f>'experience g(l)'!W55</f>
        <v>240</v>
      </c>
      <c r="S67" s="45">
        <f>'experience g(l)'!X55</f>
        <v>240</v>
      </c>
      <c r="T67" s="45">
        <f>'experience g(l)'!Y55</f>
        <v>240</v>
      </c>
      <c r="U67" s="45">
        <f>'experience g(l)'!Z55</f>
        <v>240</v>
      </c>
      <c r="V67" s="45">
        <f>'experience g(l)'!AA55</f>
        <v>240</v>
      </c>
      <c r="W67" s="45">
        <f>'experience g(l)'!AB55</f>
        <v>240</v>
      </c>
      <c r="X67" s="45">
        <f>'experience g(l)'!AC55</f>
        <v>240</v>
      </c>
      <c r="Y67" s="45">
        <f>'experience g(l)'!AD55</f>
        <v>240</v>
      </c>
      <c r="Z67" s="45">
        <f>'experience g(l)'!AE55</f>
        <v>240</v>
      </c>
      <c r="AA67" s="45">
        <f>'experience g(l)'!AF55</f>
        <v>140</v>
      </c>
      <c r="AB67" s="45"/>
      <c r="AC67" s="45"/>
      <c r="AD67" s="45"/>
      <c r="AE67" s="45"/>
      <c r="AF67" s="45"/>
      <c r="AG67" s="45"/>
      <c r="AH67" s="45"/>
      <c r="AI67" s="45"/>
      <c r="AJ67" s="45"/>
      <c r="AK67" s="45"/>
      <c r="AL67" s="45"/>
      <c r="AN67" s="3">
        <f t="shared" si="13"/>
        <v>1100</v>
      </c>
    </row>
    <row r="68" spans="1:40" s="3" customFormat="1" x14ac:dyDescent="0.2">
      <c r="A68" t="s">
        <v>313</v>
      </c>
      <c r="B68" s="3" t="s">
        <v>108</v>
      </c>
      <c r="H68" s="45"/>
      <c r="I68" s="45"/>
      <c r="J68" s="45"/>
      <c r="K68" s="45"/>
      <c r="L68" s="45"/>
      <c r="M68" s="45"/>
      <c r="N68" s="45"/>
      <c r="O68" s="45">
        <f>'experience g(l)'!T56</f>
        <v>294</v>
      </c>
      <c r="P68" s="45">
        <f>'experience g(l)'!U56</f>
        <v>294</v>
      </c>
      <c r="Q68" s="45">
        <f>'experience g(l)'!V56</f>
        <v>294</v>
      </c>
      <c r="R68" s="45">
        <f>'experience g(l)'!W56</f>
        <v>294</v>
      </c>
      <c r="S68" s="45">
        <f>'experience g(l)'!X56</f>
        <v>294</v>
      </c>
      <c r="T68" s="45">
        <f>'experience g(l)'!Y56</f>
        <v>294</v>
      </c>
      <c r="U68" s="45">
        <f>'experience g(l)'!Z56</f>
        <v>294</v>
      </c>
      <c r="V68" s="45">
        <f>'experience g(l)'!AA56</f>
        <v>294</v>
      </c>
      <c r="W68" s="45">
        <f>'experience g(l)'!AB56</f>
        <v>294</v>
      </c>
      <c r="X68" s="45">
        <f>'experience g(l)'!AC56</f>
        <v>294</v>
      </c>
      <c r="Y68" s="45">
        <f>'experience g(l)'!AD56</f>
        <v>294</v>
      </c>
      <c r="Z68" s="45">
        <f>'experience g(l)'!AE56</f>
        <v>294</v>
      </c>
      <c r="AA68" s="45">
        <f>'experience g(l)'!AF56</f>
        <v>294</v>
      </c>
      <c r="AB68" s="45">
        <f>'experience g(l)'!AG56</f>
        <v>234</v>
      </c>
      <c r="AC68" s="45"/>
      <c r="AD68" s="45"/>
      <c r="AE68" s="45"/>
      <c r="AF68" s="45"/>
      <c r="AG68" s="45"/>
      <c r="AH68" s="45"/>
      <c r="AI68" s="45"/>
      <c r="AJ68" s="45"/>
      <c r="AK68" s="45"/>
      <c r="AL68" s="45"/>
      <c r="AN68" s="3">
        <f t="shared" si="13"/>
        <v>1704</v>
      </c>
    </row>
    <row r="69" spans="1:40" s="3" customFormat="1" x14ac:dyDescent="0.2">
      <c r="A69" t="s">
        <v>314</v>
      </c>
      <c r="B69" s="3" t="s">
        <v>108</v>
      </c>
      <c r="H69" s="45"/>
      <c r="I69" s="45"/>
      <c r="J69" s="45"/>
      <c r="K69" s="45"/>
      <c r="L69" s="45"/>
      <c r="M69" s="45"/>
      <c r="N69" s="45"/>
      <c r="O69" s="45"/>
      <c r="P69" s="45">
        <f>'experience g(l)'!U57</f>
        <v>-198</v>
      </c>
      <c r="Q69" s="45">
        <f>'experience g(l)'!V57</f>
        <v>-198</v>
      </c>
      <c r="R69" s="45">
        <f>'experience g(l)'!W57</f>
        <v>-198</v>
      </c>
      <c r="S69" s="45">
        <f>'experience g(l)'!X57</f>
        <v>-198</v>
      </c>
      <c r="T69" s="45">
        <f>'experience g(l)'!Y57</f>
        <v>-198</v>
      </c>
      <c r="U69" s="45">
        <f>'experience g(l)'!Z57</f>
        <v>-198</v>
      </c>
      <c r="V69" s="45">
        <f>'experience g(l)'!AA57</f>
        <v>-198</v>
      </c>
      <c r="W69" s="45">
        <f>'experience g(l)'!AB57</f>
        <v>-198</v>
      </c>
      <c r="X69" s="45">
        <f>'experience g(l)'!AC57</f>
        <v>-198</v>
      </c>
      <c r="Y69" s="45">
        <f>'experience g(l)'!AD57</f>
        <v>-198</v>
      </c>
      <c r="Z69" s="45">
        <f>'experience g(l)'!AE57</f>
        <v>-198</v>
      </c>
      <c r="AA69" s="45">
        <f>'experience g(l)'!AF57</f>
        <v>-198</v>
      </c>
      <c r="AB69" s="45">
        <f>'experience g(l)'!AG57</f>
        <v>-198</v>
      </c>
      <c r="AC69" s="45">
        <f>'experience g(l)'!AH57</f>
        <v>-199</v>
      </c>
      <c r="AD69" s="45"/>
      <c r="AE69" s="45"/>
      <c r="AF69" s="45"/>
      <c r="AG69" s="45"/>
      <c r="AH69" s="45"/>
      <c r="AI69" s="45"/>
      <c r="AJ69" s="45"/>
      <c r="AK69" s="45"/>
      <c r="AL69" s="45"/>
      <c r="AN69" s="3">
        <f t="shared" si="13"/>
        <v>-1387</v>
      </c>
    </row>
    <row r="70" spans="1:40" s="3" customFormat="1" x14ac:dyDescent="0.2">
      <c r="A70" t="s">
        <v>329</v>
      </c>
      <c r="B70" s="3" t="s">
        <v>108</v>
      </c>
      <c r="H70" s="45"/>
      <c r="I70" s="45"/>
      <c r="J70" s="45"/>
      <c r="K70" s="45"/>
      <c r="L70" s="45"/>
      <c r="M70" s="45"/>
      <c r="N70" s="45"/>
      <c r="O70" s="45"/>
      <c r="P70" s="45"/>
      <c r="Q70" s="45">
        <f>'experience g(l)'!V58</f>
        <v>-269</v>
      </c>
      <c r="R70" s="45">
        <f>'experience g(l)'!W58</f>
        <v>-269</v>
      </c>
      <c r="S70" s="45">
        <f>'experience g(l)'!X58</f>
        <v>-269</v>
      </c>
      <c r="T70" s="45">
        <f>'experience g(l)'!Y58</f>
        <v>-269</v>
      </c>
      <c r="U70" s="45">
        <f>'experience g(l)'!Z58</f>
        <v>-269</v>
      </c>
      <c r="V70" s="45">
        <f>'experience g(l)'!AA58</f>
        <v>-269</v>
      </c>
      <c r="W70" s="45">
        <f>'experience g(l)'!AB58</f>
        <v>-269</v>
      </c>
      <c r="X70" s="45">
        <f>'experience g(l)'!AC58</f>
        <v>-269</v>
      </c>
      <c r="Y70" s="45">
        <f>'experience g(l)'!AD58</f>
        <v>-269</v>
      </c>
      <c r="Z70" s="45">
        <f>'experience g(l)'!AE58</f>
        <v>-269</v>
      </c>
      <c r="AA70" s="45">
        <f>'experience g(l)'!AF58</f>
        <v>-269</v>
      </c>
      <c r="AB70" s="45">
        <f>'experience g(l)'!AG58</f>
        <v>-269</v>
      </c>
      <c r="AC70" s="45">
        <f>'experience g(l)'!AH58</f>
        <v>-269</v>
      </c>
      <c r="AD70" s="45">
        <f>'experience g(l)'!AI58</f>
        <v>-268</v>
      </c>
      <c r="AE70" s="45"/>
      <c r="AF70" s="45"/>
      <c r="AG70" s="45"/>
      <c r="AH70" s="45"/>
      <c r="AI70" s="45"/>
      <c r="AJ70" s="45"/>
      <c r="AK70" s="45"/>
      <c r="AL70" s="45"/>
      <c r="AN70" s="3">
        <f t="shared" si="13"/>
        <v>-2151</v>
      </c>
    </row>
    <row r="71" spans="1:40" s="3" customFormat="1" x14ac:dyDescent="0.2">
      <c r="A71" t="s">
        <v>332</v>
      </c>
      <c r="B71" s="3" t="s">
        <v>108</v>
      </c>
      <c r="H71" s="45"/>
      <c r="I71" s="45"/>
      <c r="J71" s="45"/>
      <c r="K71" s="45"/>
      <c r="L71" s="45"/>
      <c r="M71" s="45"/>
      <c r="N71" s="45"/>
      <c r="O71" s="45"/>
      <c r="P71" s="45"/>
      <c r="Q71" s="45"/>
      <c r="R71" s="45">
        <f>'experience g(l)'!W59</f>
        <v>114</v>
      </c>
      <c r="S71" s="45">
        <f>'experience g(l)'!X59</f>
        <v>114</v>
      </c>
      <c r="T71" s="45">
        <f>'experience g(l)'!Y59</f>
        <v>114</v>
      </c>
      <c r="U71" s="45">
        <f>'experience g(l)'!Z59</f>
        <v>114</v>
      </c>
      <c r="V71" s="45">
        <f>'experience g(l)'!AA59</f>
        <v>114</v>
      </c>
      <c r="W71" s="45">
        <f>'experience g(l)'!AB59</f>
        <v>114</v>
      </c>
      <c r="X71" s="45">
        <f>'experience g(l)'!AC59</f>
        <v>114</v>
      </c>
      <c r="Y71" s="45">
        <f>'experience g(l)'!AD59</f>
        <v>114</v>
      </c>
      <c r="Z71" s="45">
        <f>'experience g(l)'!AE59</f>
        <v>114</v>
      </c>
      <c r="AA71" s="45">
        <f>'experience g(l)'!AF59</f>
        <v>114</v>
      </c>
      <c r="AB71" s="45">
        <f>'experience g(l)'!AG59</f>
        <v>114</v>
      </c>
      <c r="AC71" s="45">
        <f>'experience g(l)'!AH59</f>
        <v>114</v>
      </c>
      <c r="AD71" s="45">
        <f>'experience g(l)'!AI59</f>
        <v>114</v>
      </c>
      <c r="AE71" s="45">
        <f>'experience g(l)'!AJ59</f>
        <v>96</v>
      </c>
      <c r="AF71" s="45"/>
      <c r="AG71" s="45"/>
      <c r="AH71" s="45"/>
      <c r="AI71" s="45"/>
      <c r="AJ71" s="45"/>
      <c r="AK71" s="45"/>
      <c r="AL71" s="45"/>
      <c r="AN71" s="3">
        <f t="shared" si="13"/>
        <v>1008</v>
      </c>
    </row>
    <row r="72" spans="1:40" s="3" customFormat="1" x14ac:dyDescent="0.2">
      <c r="A72" s="231" t="s">
        <v>336</v>
      </c>
      <c r="B72" s="3" t="s">
        <v>108</v>
      </c>
      <c r="H72" s="45"/>
      <c r="I72" s="45"/>
      <c r="J72" s="45"/>
      <c r="K72" s="45"/>
      <c r="L72" s="45"/>
      <c r="M72" s="45"/>
      <c r="N72" s="45"/>
      <c r="O72" s="45"/>
      <c r="P72" s="45"/>
      <c r="Q72" s="45"/>
      <c r="R72" s="45"/>
      <c r="S72" s="45">
        <f>'experience g(l)'!X60</f>
        <v>-309</v>
      </c>
      <c r="T72" s="45">
        <f>'experience g(l)'!Y60</f>
        <v>-309</v>
      </c>
      <c r="U72" s="45">
        <f>'experience g(l)'!Z60</f>
        <v>-309</v>
      </c>
      <c r="V72" s="45">
        <f>'experience g(l)'!AA60</f>
        <v>-309</v>
      </c>
      <c r="W72" s="45">
        <f>'experience g(l)'!AB60</f>
        <v>-309</v>
      </c>
      <c r="X72" s="45">
        <f>'experience g(l)'!AC60</f>
        <v>-309</v>
      </c>
      <c r="Y72" s="45">
        <f>'experience g(l)'!AD60</f>
        <v>-309</v>
      </c>
      <c r="Z72" s="45">
        <f>'experience g(l)'!AE60</f>
        <v>-309</v>
      </c>
      <c r="AA72" s="45">
        <f>'experience g(l)'!AF60</f>
        <v>-309</v>
      </c>
      <c r="AB72" s="45">
        <f>'experience g(l)'!AG60</f>
        <v>-309</v>
      </c>
      <c r="AC72" s="45">
        <f>'experience g(l)'!AH60</f>
        <v>-309</v>
      </c>
      <c r="AD72" s="45">
        <f>'experience g(l)'!AI60</f>
        <v>-309</v>
      </c>
      <c r="AE72" s="45">
        <f>'experience g(l)'!AJ60</f>
        <v>-309</v>
      </c>
      <c r="AF72" s="45">
        <f>'experience g(l)'!AK60</f>
        <v>-271</v>
      </c>
      <c r="AG72" s="45">
        <f>'experience g(l)'!AL60</f>
        <v>-63</v>
      </c>
      <c r="AH72" s="45"/>
      <c r="AI72" s="45"/>
      <c r="AJ72" s="45"/>
      <c r="AK72" s="45"/>
      <c r="AL72" s="45"/>
      <c r="AN72" s="3">
        <f t="shared" si="13"/>
        <v>-3115</v>
      </c>
    </row>
    <row r="73" spans="1:40" s="3" customFormat="1" x14ac:dyDescent="0.2">
      <c r="A73" s="231" t="s">
        <v>350</v>
      </c>
      <c r="B73" s="3" t="s">
        <v>108</v>
      </c>
      <c r="H73" s="45"/>
      <c r="I73" s="45"/>
      <c r="J73" s="45"/>
      <c r="K73" s="45"/>
      <c r="L73" s="45"/>
      <c r="M73" s="45"/>
      <c r="N73" s="45"/>
      <c r="O73" s="45"/>
      <c r="P73" s="45"/>
      <c r="Q73" s="45"/>
      <c r="R73" s="45"/>
      <c r="S73" s="45"/>
      <c r="T73" s="45">
        <f>'experience g(l)'!Y61</f>
        <v>69</v>
      </c>
      <c r="U73" s="45">
        <f>'experience g(l)'!Z61</f>
        <v>69</v>
      </c>
      <c r="V73" s="45">
        <f>'experience g(l)'!AA61</f>
        <v>69</v>
      </c>
      <c r="W73" s="45">
        <f>'experience g(l)'!AB61</f>
        <v>69</v>
      </c>
      <c r="X73" s="45">
        <f>'experience g(l)'!AC61</f>
        <v>69</v>
      </c>
      <c r="Y73" s="45">
        <f>'experience g(l)'!AD61</f>
        <v>69</v>
      </c>
      <c r="Z73" s="45">
        <f>'experience g(l)'!AE61</f>
        <v>69</v>
      </c>
      <c r="AA73" s="45">
        <f>'experience g(l)'!AF61</f>
        <v>69</v>
      </c>
      <c r="AB73" s="45">
        <f>'experience g(l)'!AG61</f>
        <v>69</v>
      </c>
      <c r="AC73" s="45">
        <f>'experience g(l)'!AH61</f>
        <v>69</v>
      </c>
      <c r="AD73" s="45">
        <f>'experience g(l)'!AI61</f>
        <v>69</v>
      </c>
      <c r="AE73" s="45">
        <f>'experience g(l)'!AJ61</f>
        <v>69</v>
      </c>
      <c r="AF73" s="45">
        <f>'experience g(l)'!AK61</f>
        <v>69</v>
      </c>
      <c r="AG73" s="45">
        <f>'experience g(l)'!AL61</f>
        <v>69</v>
      </c>
      <c r="AH73" s="45">
        <f>'experience g(l)'!AM61</f>
        <v>38.4</v>
      </c>
      <c r="AI73" s="45"/>
      <c r="AJ73" s="45"/>
      <c r="AK73" s="45"/>
      <c r="AL73" s="45"/>
      <c r="AN73" s="3">
        <f t="shared" si="13"/>
        <v>797.4</v>
      </c>
    </row>
    <row r="74" spans="1:40" s="3" customFormat="1" x14ac:dyDescent="0.2">
      <c r="A74" s="388" t="s">
        <v>355</v>
      </c>
      <c r="B74" s="3" t="s">
        <v>108</v>
      </c>
      <c r="H74" s="45"/>
      <c r="I74" s="45"/>
      <c r="J74" s="45"/>
      <c r="K74" s="45"/>
      <c r="L74" s="45"/>
      <c r="M74" s="45"/>
      <c r="N74" s="45"/>
      <c r="O74" s="45"/>
      <c r="P74" s="45"/>
      <c r="Q74" s="45"/>
      <c r="R74" s="45"/>
      <c r="S74" s="45"/>
      <c r="T74" s="45"/>
      <c r="U74" s="45">
        <f>'experience g(l)'!Z62</f>
        <v>421</v>
      </c>
      <c r="V74" s="45">
        <f>'experience g(l)'!AA62</f>
        <v>421</v>
      </c>
      <c r="W74" s="45">
        <f>'experience g(l)'!AB62</f>
        <v>421</v>
      </c>
      <c r="X74" s="45">
        <f>'experience g(l)'!AC62</f>
        <v>421</v>
      </c>
      <c r="Y74" s="45">
        <f>'experience g(l)'!AD62</f>
        <v>421</v>
      </c>
      <c r="Z74" s="45">
        <f>'experience g(l)'!AE62</f>
        <v>421</v>
      </c>
      <c r="AA74" s="45">
        <f>'experience g(l)'!AF62</f>
        <v>421</v>
      </c>
      <c r="AB74" s="45">
        <f>'experience g(l)'!AG62</f>
        <v>421</v>
      </c>
      <c r="AC74" s="45">
        <f>'experience g(l)'!AH62</f>
        <v>421</v>
      </c>
      <c r="AD74" s="45">
        <f>'experience g(l)'!AI62</f>
        <v>421</v>
      </c>
      <c r="AE74" s="45">
        <f>'experience g(l)'!AJ62</f>
        <v>421</v>
      </c>
      <c r="AF74" s="45">
        <f>'experience g(l)'!AK62</f>
        <v>421</v>
      </c>
      <c r="AG74" s="45">
        <f>'experience g(l)'!AL62</f>
        <v>421</v>
      </c>
      <c r="AH74" s="45">
        <f>'experience g(l)'!AM62</f>
        <v>421</v>
      </c>
      <c r="AI74" s="45">
        <f>'experience g(l)'!AN62</f>
        <v>210.5</v>
      </c>
      <c r="AJ74" s="45"/>
      <c r="AK74" s="45"/>
      <c r="AL74" s="45"/>
      <c r="AN74" s="3">
        <f t="shared" si="13"/>
        <v>5262.5</v>
      </c>
    </row>
    <row r="75" spans="1:40" s="3" customFormat="1" x14ac:dyDescent="0.2">
      <c r="A75" s="388" t="s">
        <v>358</v>
      </c>
      <c r="B75" s="3" t="s">
        <v>108</v>
      </c>
      <c r="H75" s="45"/>
      <c r="I75" s="45"/>
      <c r="J75" s="45"/>
      <c r="K75" s="45"/>
      <c r="L75" s="45"/>
      <c r="M75" s="45"/>
      <c r="N75" s="45"/>
      <c r="O75" s="45"/>
      <c r="P75" s="45"/>
      <c r="Q75" s="45"/>
      <c r="R75" s="45"/>
      <c r="S75" s="45"/>
      <c r="T75" s="45"/>
      <c r="U75" s="45"/>
      <c r="V75" s="45">
        <f>'experience g(l)'!AA63</f>
        <v>433</v>
      </c>
      <c r="W75" s="45">
        <f>'experience g(l)'!AB63</f>
        <v>433</v>
      </c>
      <c r="X75" s="45">
        <f>'experience g(l)'!AC63</f>
        <v>433</v>
      </c>
      <c r="Y75" s="45">
        <f>'experience g(l)'!AD63</f>
        <v>433</v>
      </c>
      <c r="Z75" s="45">
        <f>'experience g(l)'!AE63</f>
        <v>433</v>
      </c>
      <c r="AA75" s="45">
        <f>'experience g(l)'!AF63</f>
        <v>433</v>
      </c>
      <c r="AB75" s="45">
        <f>'experience g(l)'!AG63</f>
        <v>433</v>
      </c>
      <c r="AC75" s="45">
        <f>'experience g(l)'!AH63</f>
        <v>433</v>
      </c>
      <c r="AD75" s="45">
        <f>'experience g(l)'!AI63</f>
        <v>433</v>
      </c>
      <c r="AE75" s="45">
        <f>'experience g(l)'!AJ63</f>
        <v>433</v>
      </c>
      <c r="AF75" s="45">
        <f>'experience g(l)'!AK63</f>
        <v>433</v>
      </c>
      <c r="AG75" s="45">
        <f>'experience g(l)'!AL63</f>
        <v>433</v>
      </c>
      <c r="AH75" s="45">
        <f>'experience g(l)'!AM63</f>
        <v>433</v>
      </c>
      <c r="AI75" s="45">
        <f>'experience g(l)'!AN63</f>
        <v>433</v>
      </c>
      <c r="AJ75" s="45">
        <f>'experience g(l)'!AO63</f>
        <v>179.20000000000002</v>
      </c>
      <c r="AK75" s="45">
        <f>'experience g(l)'!AP63</f>
        <v>0</v>
      </c>
      <c r="AL75" s="45">
        <f>'experience g(l)'!AQ63</f>
        <v>0</v>
      </c>
      <c r="AN75" s="3">
        <f t="shared" si="13"/>
        <v>5808.2</v>
      </c>
    </row>
    <row r="76" spans="1:40" s="3" customFormat="1" x14ac:dyDescent="0.2">
      <c r="A76" s="314" t="s">
        <v>363</v>
      </c>
      <c r="H76" s="45"/>
      <c r="I76" s="45"/>
      <c r="J76" s="45"/>
      <c r="K76" s="45"/>
      <c r="L76" s="45"/>
      <c r="M76" s="45"/>
      <c r="N76" s="45"/>
      <c r="O76" s="45"/>
      <c r="P76" s="45"/>
      <c r="Q76" s="45"/>
      <c r="R76" s="45"/>
      <c r="S76" s="45"/>
      <c r="T76" s="45"/>
      <c r="U76" s="45"/>
      <c r="V76" s="45"/>
      <c r="W76" s="45">
        <f>'experience g(l)'!AB64</f>
        <v>594</v>
      </c>
      <c r="X76" s="45">
        <f>'experience g(l)'!AC64</f>
        <v>594</v>
      </c>
      <c r="Y76" s="45">
        <f>'experience g(l)'!AD64</f>
        <v>594</v>
      </c>
      <c r="Z76" s="45">
        <f>'experience g(l)'!AE64</f>
        <v>594</v>
      </c>
      <c r="AA76" s="45">
        <f>'experience g(l)'!AF64</f>
        <v>594</v>
      </c>
      <c r="AB76" s="45">
        <f>'experience g(l)'!AG64</f>
        <v>594</v>
      </c>
      <c r="AC76" s="45">
        <f>'experience g(l)'!AH64</f>
        <v>594</v>
      </c>
      <c r="AD76" s="45">
        <f>'experience g(l)'!AI64</f>
        <v>594</v>
      </c>
      <c r="AE76" s="45">
        <f>'experience g(l)'!AJ64</f>
        <v>594</v>
      </c>
      <c r="AF76" s="45">
        <f>'experience g(l)'!AK64</f>
        <v>594</v>
      </c>
      <c r="AG76" s="45">
        <f>'experience g(l)'!AL64</f>
        <v>593</v>
      </c>
      <c r="AH76" s="45">
        <f>'experience g(l)'!AM64</f>
        <v>593</v>
      </c>
      <c r="AI76" s="45">
        <f>'experience g(l)'!AN64</f>
        <v>593</v>
      </c>
      <c r="AJ76" s="45">
        <f>'experience g(l)'!AO64</f>
        <v>593</v>
      </c>
      <c r="AK76" s="45">
        <f>'experience g(l)'!AP64</f>
        <v>593</v>
      </c>
      <c r="AL76" s="45">
        <f>'experience g(l)'!AQ64</f>
        <v>184.2</v>
      </c>
      <c r="AN76" s="3">
        <f t="shared" si="13"/>
        <v>9089.2000000000007</v>
      </c>
    </row>
    <row r="77" spans="1:40" s="25" customFormat="1" x14ac:dyDescent="0.2">
      <c r="A77" s="25" t="s">
        <v>130</v>
      </c>
      <c r="H77" s="26">
        <f t="shared" ref="H77:S77" si="15">SUM(H56:H72)</f>
        <v>470</v>
      </c>
      <c r="I77" s="26">
        <f t="shared" si="15"/>
        <v>493</v>
      </c>
      <c r="J77" s="26">
        <f t="shared" si="15"/>
        <v>444</v>
      </c>
      <c r="K77" s="26">
        <f t="shared" si="15"/>
        <v>466</v>
      </c>
      <c r="L77" s="26">
        <f t="shared" si="15"/>
        <v>467</v>
      </c>
      <c r="M77" s="26">
        <f t="shared" si="15"/>
        <v>470</v>
      </c>
      <c r="N77" s="26">
        <f t="shared" si="15"/>
        <v>710</v>
      </c>
      <c r="O77" s="26">
        <f t="shared" si="15"/>
        <v>1113</v>
      </c>
      <c r="P77" s="26">
        <f t="shared" si="15"/>
        <v>916</v>
      </c>
      <c r="Q77" s="26">
        <f t="shared" si="15"/>
        <v>587</v>
      </c>
      <c r="R77" s="26">
        <f t="shared" si="15"/>
        <v>490</v>
      </c>
      <c r="S77" s="26">
        <f t="shared" si="15"/>
        <v>181</v>
      </c>
      <c r="T77" s="26">
        <f>SUM(T56:T74)</f>
        <v>-70</v>
      </c>
      <c r="U77" s="26">
        <f>SUM(U56:U75)</f>
        <v>312</v>
      </c>
      <c r="V77" s="26">
        <f t="shared" ref="V77" si="16">SUM(V56:V75)</f>
        <v>723</v>
      </c>
      <c r="W77" s="26">
        <f>SUM(W56:W76)</f>
        <v>1364</v>
      </c>
      <c r="X77" s="26">
        <f t="shared" ref="X77:AJ77" si="17">SUM(X56:X76)</f>
        <v>1342</v>
      </c>
      <c r="Y77" s="26">
        <f t="shared" si="17"/>
        <v>1342</v>
      </c>
      <c r="Z77" s="26">
        <f t="shared" si="17"/>
        <v>1389</v>
      </c>
      <c r="AA77" s="26">
        <f t="shared" si="17"/>
        <v>1289</v>
      </c>
      <c r="AB77" s="26">
        <f t="shared" si="17"/>
        <v>1089</v>
      </c>
      <c r="AC77" s="26">
        <f t="shared" si="17"/>
        <v>854</v>
      </c>
      <c r="AD77" s="26">
        <f t="shared" si="17"/>
        <v>1054</v>
      </c>
      <c r="AE77" s="26">
        <f t="shared" si="17"/>
        <v>1304</v>
      </c>
      <c r="AF77" s="26">
        <f t="shared" si="17"/>
        <v>1246</v>
      </c>
      <c r="AG77" s="26">
        <f t="shared" si="17"/>
        <v>1453</v>
      </c>
      <c r="AH77" s="26">
        <f t="shared" si="17"/>
        <v>1485.4</v>
      </c>
      <c r="AI77" s="26">
        <f t="shared" si="17"/>
        <v>1236.5</v>
      </c>
      <c r="AJ77" s="26">
        <f t="shared" si="17"/>
        <v>772.2</v>
      </c>
      <c r="AK77" s="26">
        <f t="shared" ref="AK77" si="18">SUM(AK56:AK76)</f>
        <v>593</v>
      </c>
      <c r="AL77" s="26">
        <f t="shared" ref="AL77" si="19">SUM(AL56:AL76)</f>
        <v>184.2</v>
      </c>
      <c r="AN77" s="26">
        <f>SUM(AN56:AN76)</f>
        <v>17997.300000000003</v>
      </c>
    </row>
    <row r="78" spans="1:40" s="3" customFormat="1" x14ac:dyDescent="0.2"/>
    <row r="79" spans="1:40" s="3" customFormat="1" x14ac:dyDescent="0.2"/>
    <row r="80" spans="1:4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phoneticPr fontId="0" type="noConversion"/>
  <pageMargins left="0.5" right="0.5" top="0.75" bottom="0.75" header="0.5" footer="0.5"/>
  <pageSetup paperSize="5" scale="40" orientation="landscape" r:id="rId1"/>
  <headerFooter alignWithMargins="0">
    <oddFooter>&amp;L&amp;"Arial,Bold"&amp;F&amp;C&amp;A&amp;R&amp;D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zoomScale="80" zoomScaleNormal="80" workbookViewId="0">
      <pane xSplit="1" ySplit="5" topLeftCell="T6" activePane="bottomRight" state="frozen"/>
      <selection activeCell="AF39" sqref="AF39"/>
      <selection pane="topRight" activeCell="AF39" sqref="AF39"/>
      <selection pane="bottomLeft" activeCell="AF39" sqref="AF39"/>
      <selection pane="bottomRight" activeCell="AE15" sqref="AE15"/>
    </sheetView>
  </sheetViews>
  <sheetFormatPr baseColWidth="10" defaultColWidth="9.140625" defaultRowHeight="12.75" outlineLevelCol="1" x14ac:dyDescent="0.2"/>
  <cols>
    <col min="1" max="1" width="27.7109375" customWidth="1"/>
    <col min="2" max="2" width="36.140625" customWidth="1"/>
    <col min="3" max="3" width="10.28515625" hidden="1" customWidth="1" outlineLevel="1"/>
    <col min="4" max="16" width="9.140625" hidden="1" customWidth="1" outlineLevel="1"/>
    <col min="17" max="17" width="9.140625" style="115" hidden="1" customWidth="1" outlineLevel="1"/>
    <col min="18" max="18" width="9.140625" style="115" collapsed="1"/>
    <col min="19" max="21" width="9.140625" style="115"/>
    <col min="22" max="22" width="10" style="115" customWidth="1"/>
    <col min="23" max="27" width="10" style="115" bestFit="1" customWidth="1"/>
    <col min="28" max="28" width="10" style="389" bestFit="1" customWidth="1"/>
    <col min="29" max="31" width="10" style="76" bestFit="1" customWidth="1" outlineLevel="1"/>
    <col min="32" max="32" width="10" style="238" bestFit="1" customWidth="1" outlineLevel="1"/>
    <col min="33" max="33" width="9.140625" customWidth="1" outlineLevel="1"/>
  </cols>
  <sheetData>
    <row r="1" spans="1:32" ht="15.75" x14ac:dyDescent="0.25">
      <c r="A1" s="18" t="s">
        <v>67</v>
      </c>
    </row>
    <row r="2" spans="1:32" x14ac:dyDescent="0.2">
      <c r="A2" s="2" t="s">
        <v>210</v>
      </c>
    </row>
    <row r="5" spans="1:32" s="2"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504">
        <v>2015</v>
      </c>
      <c r="AC5" s="77">
        <v>2016</v>
      </c>
      <c r="AD5" s="77">
        <v>2017</v>
      </c>
      <c r="AE5" s="77">
        <v>2018</v>
      </c>
      <c r="AF5" s="239">
        <v>2019</v>
      </c>
    </row>
    <row r="6" spans="1:32" s="3" customFormat="1" x14ac:dyDescent="0.2">
      <c r="Q6" s="121"/>
      <c r="R6" s="121"/>
      <c r="S6" s="121"/>
      <c r="T6" s="121"/>
      <c r="U6" s="121"/>
      <c r="V6" s="121"/>
      <c r="W6" s="121"/>
      <c r="X6" s="121"/>
      <c r="Y6" s="121"/>
      <c r="Z6" s="121"/>
      <c r="AA6" s="121"/>
      <c r="AB6" s="505"/>
      <c r="AC6" s="79"/>
      <c r="AD6" s="79"/>
      <c r="AE6" s="79"/>
      <c r="AF6" s="240"/>
    </row>
    <row r="7" spans="1:32" s="3" customFormat="1" x14ac:dyDescent="0.2">
      <c r="A7" s="3" t="s">
        <v>212</v>
      </c>
      <c r="B7" s="3" t="s">
        <v>226</v>
      </c>
      <c r="C7" s="7">
        <v>4302</v>
      </c>
      <c r="D7" s="3">
        <f>liability!C40</f>
        <v>4267</v>
      </c>
      <c r="E7" s="3">
        <f>liability!D40</f>
        <v>4225.43</v>
      </c>
      <c r="F7" s="3">
        <f>liability!E40</f>
        <v>3694.4225000000006</v>
      </c>
      <c r="G7" s="3">
        <f>liability!F40</f>
        <v>3459.5162499999969</v>
      </c>
      <c r="H7" s="3">
        <f>liability!G40</f>
        <v>4169.3037499999955</v>
      </c>
      <c r="I7" s="3">
        <f>liability!H40</f>
        <v>4230.6912499999999</v>
      </c>
      <c r="J7" s="3">
        <f>liability!I40</f>
        <v>3885.3662500000028</v>
      </c>
      <c r="K7" s="3">
        <f>liability!J40</f>
        <v>2989.8549999999996</v>
      </c>
      <c r="L7" s="3">
        <f>liability!K40</f>
        <v>1760.9975000000013</v>
      </c>
      <c r="M7" s="3">
        <f>liability!L40</f>
        <v>302.2799999999952</v>
      </c>
      <c r="N7" s="3">
        <f>liability!M40</f>
        <v>-1520.565000000006</v>
      </c>
      <c r="O7" s="3">
        <f>liability!N40</f>
        <v>-2513.2850000000071</v>
      </c>
      <c r="P7" s="3">
        <f>liability!O40</f>
        <v>-3192.565000000006</v>
      </c>
      <c r="Q7" s="121">
        <f>liability!P40</f>
        <v>-3880.7250000000095</v>
      </c>
      <c r="R7" s="121">
        <f>liability!Q40</f>
        <v>-4606.9500000000153</v>
      </c>
      <c r="S7" s="121">
        <f>liability!R40</f>
        <v>-5301.4000000000124</v>
      </c>
      <c r="T7" s="121">
        <f>liability!S40</f>
        <v>-5920.8500000000095</v>
      </c>
      <c r="U7" s="121">
        <f>liability!T40</f>
        <v>-7409.1987500000141</v>
      </c>
      <c r="V7" s="121">
        <f>liability!U40</f>
        <v>-9653.0237500000112</v>
      </c>
      <c r="W7" s="121">
        <f>liability!V40</f>
        <v>-11892.33821300001</v>
      </c>
      <c r="X7" s="121">
        <f>liability!W40</f>
        <v>-13525.479145571442</v>
      </c>
      <c r="Y7" s="121">
        <f>liability!X40</f>
        <v>-15248.16701157145</v>
      </c>
      <c r="Z7" s="121">
        <f>liability!Y40</f>
        <v>-16343.790429549132</v>
      </c>
      <c r="AA7" s="121">
        <f>liability!Z40</f>
        <v>-17602.78462954914</v>
      </c>
      <c r="AB7" s="505">
        <f>liability!AA40</f>
        <v>-19607.118876549128</v>
      </c>
      <c r="AC7" s="79">
        <f>liability!AB40</f>
        <v>-22590.441376549104</v>
      </c>
      <c r="AD7" s="79">
        <f>liability!AC40</f>
        <v>-26854.053871408858</v>
      </c>
      <c r="AE7" s="79">
        <f>liability!AD40</f>
        <v>-31987.443492232585</v>
      </c>
      <c r="AF7" s="240">
        <f>liability!AE40</f>
        <v>-37822.353114558617</v>
      </c>
    </row>
    <row r="8" spans="1:32" s="3" customFormat="1" x14ac:dyDescent="0.2">
      <c r="A8" s="3" t="s">
        <v>211</v>
      </c>
      <c r="B8" s="3" t="s">
        <v>227</v>
      </c>
      <c r="C8" s="3">
        <f>expense!C33</f>
        <v>730.63499999999999</v>
      </c>
      <c r="D8" s="3">
        <f>expense!D33</f>
        <v>882.42999999999984</v>
      </c>
      <c r="E8" s="3">
        <f>expense!E33</f>
        <v>637.99249999999984</v>
      </c>
      <c r="F8" s="3">
        <f>expense!F33</f>
        <v>468.09375</v>
      </c>
      <c r="G8" s="3">
        <f>expense!G33</f>
        <v>642.78749999999991</v>
      </c>
      <c r="H8" s="3">
        <f>expense!H33</f>
        <v>740.38749999999982</v>
      </c>
      <c r="I8" s="3">
        <f>expense!I33</f>
        <v>480.67500000000018</v>
      </c>
      <c r="J8" s="3">
        <f>expense!J33</f>
        <v>210.48874999999998</v>
      </c>
      <c r="K8" s="3">
        <f>expense!K33</f>
        <v>-92.857500000000073</v>
      </c>
      <c r="L8" s="3">
        <f>expense!L33</f>
        <v>-674.7175000000002</v>
      </c>
      <c r="M8" s="3">
        <f>expense!M33</f>
        <v>-1165.8449999999998</v>
      </c>
      <c r="N8" s="3">
        <f>expense!N33</f>
        <v>-317.72000000000025</v>
      </c>
      <c r="O8" s="3">
        <f>expense!O33</f>
        <v>27.720000000000255</v>
      </c>
      <c r="P8" s="3">
        <f>expense!P33</f>
        <v>41.839999999999236</v>
      </c>
      <c r="Q8" s="121">
        <f>expense!Q33</f>
        <v>31.774999999999636</v>
      </c>
      <c r="R8" s="121">
        <f>expense!R33</f>
        <v>96.549999999999272</v>
      </c>
      <c r="S8" s="121">
        <f>expense!S33</f>
        <v>200.55000000000018</v>
      </c>
      <c r="T8" s="121">
        <f>expense!T33</f>
        <v>-428.34875000000011</v>
      </c>
      <c r="U8" s="121">
        <f>expense!U33</f>
        <v>-1087.8249999999998</v>
      </c>
      <c r="V8" s="121">
        <f>expense!V33</f>
        <v>-831.31446299999948</v>
      </c>
      <c r="W8" s="121">
        <f>expense!W33</f>
        <v>-285.14093257142963</v>
      </c>
      <c r="X8" s="121">
        <f>expense!X33</f>
        <v>-317.68786599999964</v>
      </c>
      <c r="Y8" s="121">
        <f>expense!Y33</f>
        <v>361.37658202232205</v>
      </c>
      <c r="Z8" s="121">
        <f>expense!Z33</f>
        <v>269.00579999999991</v>
      </c>
      <c r="AA8" s="121">
        <f>expense!AA33</f>
        <v>-411.33424700000046</v>
      </c>
      <c r="AB8" s="505">
        <f>expense!AB33</f>
        <v>-1346.3225000000011</v>
      </c>
      <c r="AC8" s="79">
        <f>expense!AC33</f>
        <v>-2559.5884511439053</v>
      </c>
      <c r="AD8" s="79">
        <f>expense!AD33</f>
        <v>-3362.2046241024304</v>
      </c>
      <c r="AE8" s="79">
        <f>expense!AE33</f>
        <v>-4003.3662563806988</v>
      </c>
      <c r="AF8" s="240">
        <f>expense!AF33</f>
        <v>-4549.7186385840378</v>
      </c>
    </row>
    <row r="9" spans="1:32" s="3" customFormat="1" x14ac:dyDescent="0.2">
      <c r="A9" s="3" t="s">
        <v>228</v>
      </c>
      <c r="B9" s="3" t="s">
        <v>157</v>
      </c>
      <c r="C9" s="3">
        <f>('Data Input'!D35+'Data Input'!D37)*-1</f>
        <v>-766</v>
      </c>
      <c r="D9" s="3">
        <f>('Data Input'!E35+'Data Input'!E37)*-1</f>
        <v>-924</v>
      </c>
      <c r="E9" s="3">
        <f>('Data Input'!F35+'Data Input'!F37)*-1</f>
        <v>-1169</v>
      </c>
      <c r="F9" s="3">
        <f>('Data Input'!G35+'Data Input'!G37)*-1</f>
        <v>-703</v>
      </c>
      <c r="G9" s="3">
        <f>('Data Input'!H35+'Data Input'!H37)*-1</f>
        <v>-695</v>
      </c>
      <c r="H9" s="3">
        <f>('Data Input'!I35+'Data Input'!I37)*-1</f>
        <v>-660</v>
      </c>
      <c r="I9" s="3">
        <f>('Data Input'!J35+'Data Input'!J37)*-1</f>
        <v>-816</v>
      </c>
      <c r="J9" s="3">
        <f>('Data Input'!K35+'Data Input'!K37)*-1</f>
        <v>-1097</v>
      </c>
      <c r="K9" s="3">
        <f>('Data Input'!L35+'Data Input'!L37)*-1</f>
        <v>-1131</v>
      </c>
      <c r="L9" s="3">
        <f>('Data Input'!M35+'Data Input'!M37)*-1</f>
        <v>-774</v>
      </c>
      <c r="M9" s="3">
        <f>('Data Input'!N35+'Data Input'!N37)*-1</f>
        <v>-648</v>
      </c>
      <c r="N9" s="3">
        <f>('Data Input'!O35+'Data Input'!O37)*-1</f>
        <v>-665</v>
      </c>
      <c r="O9" s="3">
        <f>('Data Input'!P35+'Data Input'!P37)*-1</f>
        <v>-690</v>
      </c>
      <c r="P9" s="3">
        <f>('Data Input'!Q35+'Data Input'!Q37)*-1</f>
        <v>-713</v>
      </c>
      <c r="Q9" s="121">
        <f>('Data Input'!R35+'Data Input'!R37)*-1</f>
        <v>-746</v>
      </c>
      <c r="R9" s="121">
        <f>('Data Input'!S35+'Data Input'!S37)*-1</f>
        <v>-781</v>
      </c>
      <c r="S9" s="121">
        <f>('Data Input'!T35+'Data Input'!T37)*-1</f>
        <v>-820</v>
      </c>
      <c r="T9" s="121">
        <f>('Data Input'!U35+'Data Input'!U37)*-1</f>
        <v>-1060</v>
      </c>
      <c r="U9" s="121">
        <f>('Data Input'!V35+'Data Input'!V37)*-1</f>
        <v>-1156</v>
      </c>
      <c r="V9" s="121">
        <f>('Data Input'!W35+'Data Input'!W37)*-1</f>
        <v>-1408</v>
      </c>
      <c r="W9" s="121">
        <f>('Data Input'!X35+'Data Input'!X37)*-1</f>
        <v>-1348</v>
      </c>
      <c r="X9" s="121">
        <f>('Data Input'!Y35+'Data Input'!Y37+'Data Input'!Y36)*-1</f>
        <v>-1406</v>
      </c>
      <c r="Y9" s="121">
        <f>('Data Input'!Z35+'Data Input'!Z37+'Data Input'!Z36)*-1</f>
        <v>-1458</v>
      </c>
      <c r="Z9" s="121">
        <f>('Data Input'!AA35+'Data Input'!AA37+'Data Input'!AA36)*-1</f>
        <v>-1527</v>
      </c>
      <c r="AA9" s="121">
        <f>('Data Input'!AB35+'Data Input'!AB37+'Data Input'!AB36)*-1</f>
        <v>-1593</v>
      </c>
      <c r="AB9" s="505">
        <f>('Data Input'!AC35+'Data Input'!AC37+'Data Input'!AC36)*-1</f>
        <v>-1637</v>
      </c>
      <c r="AC9" s="79">
        <f>('Data Input'!AD35+'Data Input'!AD37+'Data Input'!AD36)*-1</f>
        <v>-1704.024043715847</v>
      </c>
      <c r="AD9" s="79">
        <f>('Data Input'!AE35+'Data Input'!AE37+'Data Input'!AE36)*-1</f>
        <v>-1771.1849967213113</v>
      </c>
      <c r="AE9" s="79">
        <f>('Data Input'!AF35+'Data Input'!AF37+'Data Input'!AF36)*-1</f>
        <v>-1831.5433659453552</v>
      </c>
      <c r="AF9" s="240">
        <f>('Data Input'!AG35+'Data Input'!AG37+'Data Input'!AG36)*-1</f>
        <v>-1893.9933708257922</v>
      </c>
    </row>
    <row r="10" spans="1:32" s="3" customFormat="1" x14ac:dyDescent="0.2">
      <c r="A10" s="3" t="s">
        <v>230</v>
      </c>
      <c r="B10" s="3" t="s">
        <v>157</v>
      </c>
      <c r="C10" s="6">
        <f>'Data Input'!D34*-1</f>
        <v>0</v>
      </c>
      <c r="D10" s="6">
        <f>'Data Input'!E34*-1</f>
        <v>0</v>
      </c>
      <c r="E10" s="6">
        <f>'Data Input'!F34*-1</f>
        <v>0</v>
      </c>
      <c r="F10" s="6">
        <f>'Data Input'!G34*-1</f>
        <v>0</v>
      </c>
      <c r="G10" s="6">
        <f>'Data Input'!H34*-1</f>
        <v>-22</v>
      </c>
      <c r="H10" s="6">
        <f>'Data Input'!I34*-1</f>
        <v>-19</v>
      </c>
      <c r="I10" s="6">
        <f>'Data Input'!J34*-1</f>
        <v>-10</v>
      </c>
      <c r="J10" s="6">
        <f>'Data Input'!K34*-1</f>
        <v>-9</v>
      </c>
      <c r="K10" s="6">
        <f>'Data Input'!L34*-1</f>
        <v>-5</v>
      </c>
      <c r="L10" s="6">
        <f>'Data Input'!M34*-1</f>
        <v>-10</v>
      </c>
      <c r="M10" s="6">
        <f>'Data Input'!N34*-1</f>
        <v>-9</v>
      </c>
      <c r="N10" s="6">
        <f>'Data Input'!O34*-1</f>
        <v>-9</v>
      </c>
      <c r="O10" s="6">
        <f>'Data Input'!P34*-1</f>
        <v>-18</v>
      </c>
      <c r="P10" s="6">
        <f>'Data Input'!Q34*-1</f>
        <v>-17</v>
      </c>
      <c r="Q10" s="125">
        <f>'Data Input'!R34*-1</f>
        <v>-12</v>
      </c>
      <c r="R10" s="125">
        <f>'Data Input'!S34*-1</f>
        <v>-10</v>
      </c>
      <c r="S10" s="125"/>
      <c r="T10" s="125"/>
      <c r="U10" s="125"/>
      <c r="V10" s="125"/>
      <c r="W10" s="125"/>
      <c r="X10" s="125"/>
      <c r="Y10" s="125"/>
      <c r="Z10" s="125"/>
      <c r="AA10" s="125"/>
      <c r="AB10" s="506"/>
      <c r="AC10" s="81"/>
      <c r="AD10" s="81"/>
      <c r="AE10" s="81"/>
      <c r="AF10" s="241"/>
    </row>
    <row r="11" spans="1:32" s="8" customFormat="1" x14ac:dyDescent="0.2">
      <c r="A11" s="8" t="s">
        <v>213</v>
      </c>
      <c r="B11" s="8" t="s">
        <v>31</v>
      </c>
      <c r="C11" s="21">
        <f>SUM(C7:C10)</f>
        <v>4266.6350000000002</v>
      </c>
      <c r="D11" s="21">
        <f>SUM(D7:D10)</f>
        <v>4225.43</v>
      </c>
      <c r="E11" s="21">
        <f t="shared" ref="E11:Q11" si="0">SUM(E7:E10)</f>
        <v>3694.4225000000006</v>
      </c>
      <c r="F11" s="21">
        <f t="shared" si="0"/>
        <v>3459.5162500000006</v>
      </c>
      <c r="G11" s="21">
        <f t="shared" si="0"/>
        <v>3385.3037499999973</v>
      </c>
      <c r="H11" s="21">
        <f t="shared" si="0"/>
        <v>4230.6912499999953</v>
      </c>
      <c r="I11" s="21">
        <f t="shared" si="0"/>
        <v>3885.36625</v>
      </c>
      <c r="J11" s="21">
        <f t="shared" si="0"/>
        <v>2989.8550000000027</v>
      </c>
      <c r="K11" s="21">
        <f t="shared" si="0"/>
        <v>1760.9974999999995</v>
      </c>
      <c r="L11" s="21">
        <f t="shared" si="0"/>
        <v>302.28000000000111</v>
      </c>
      <c r="M11" s="21">
        <f t="shared" si="0"/>
        <v>-1520.5650000000046</v>
      </c>
      <c r="N11" s="21">
        <f t="shared" si="0"/>
        <v>-2512.2850000000062</v>
      </c>
      <c r="O11" s="21">
        <f t="shared" si="0"/>
        <v>-3193.5650000000069</v>
      </c>
      <c r="P11" s="21">
        <f t="shared" si="0"/>
        <v>-3880.7250000000067</v>
      </c>
      <c r="Q11" s="140">
        <f t="shared" si="0"/>
        <v>-4606.9500000000098</v>
      </c>
      <c r="R11" s="140">
        <f t="shared" ref="R11:AD11" si="1">SUM(R7:R10)</f>
        <v>-5301.400000000016</v>
      </c>
      <c r="S11" s="140">
        <f t="shared" si="1"/>
        <v>-5920.8500000000122</v>
      </c>
      <c r="T11" s="140">
        <f t="shared" si="1"/>
        <v>-7409.1987500000096</v>
      </c>
      <c r="U11" s="140">
        <f t="shared" si="1"/>
        <v>-9653.0237500000148</v>
      </c>
      <c r="V11" s="140">
        <f t="shared" si="1"/>
        <v>-11892.33821300001</v>
      </c>
      <c r="W11" s="140">
        <f t="shared" si="1"/>
        <v>-13525.47914557144</v>
      </c>
      <c r="X11" s="140">
        <f t="shared" si="1"/>
        <v>-15249.167011571442</v>
      </c>
      <c r="Y11" s="140">
        <f t="shared" si="1"/>
        <v>-16344.790429549128</v>
      </c>
      <c r="Z11" s="140">
        <f t="shared" si="1"/>
        <v>-17601.784629549133</v>
      </c>
      <c r="AA11" s="140">
        <f t="shared" si="1"/>
        <v>-19607.118876549139</v>
      </c>
      <c r="AB11" s="507">
        <f t="shared" si="1"/>
        <v>-22590.44137654913</v>
      </c>
      <c r="AC11" s="95">
        <f t="shared" si="1"/>
        <v>-26854.053871408858</v>
      </c>
      <c r="AD11" s="95">
        <f t="shared" si="1"/>
        <v>-31987.4434922326</v>
      </c>
      <c r="AE11" s="95">
        <f>SUM(AE7:AE10)</f>
        <v>-37822.353114558638</v>
      </c>
      <c r="AF11" s="261">
        <f>SUM(AF7:AF10)</f>
        <v>-44266.065123968452</v>
      </c>
    </row>
    <row r="12" spans="1:32" s="3" customFormat="1" x14ac:dyDescent="0.2">
      <c r="A12" s="3" t="s">
        <v>217</v>
      </c>
      <c r="B12" s="3" t="s">
        <v>229</v>
      </c>
      <c r="D12" s="3">
        <f>liability!D40-D11</f>
        <v>0</v>
      </c>
      <c r="E12" s="3">
        <f>liability!E40-E11</f>
        <v>0</v>
      </c>
      <c r="F12" s="3">
        <f>liability!F40-F11</f>
        <v>-3.637978807091713E-12</v>
      </c>
      <c r="G12" s="3">
        <f>liability!G40-G11</f>
        <v>783.99999999999818</v>
      </c>
      <c r="H12" s="3">
        <f>liability!H40-H11</f>
        <v>0</v>
      </c>
      <c r="I12" s="3">
        <f>liability!I40-I11</f>
        <v>0</v>
      </c>
      <c r="J12" s="3">
        <f>liability!J40-J11</f>
        <v>0</v>
      </c>
      <c r="K12" s="3">
        <f>liability!K40-K11</f>
        <v>1.8189894035458565E-12</v>
      </c>
      <c r="L12" s="3">
        <f>liability!L40-L11</f>
        <v>-5.9117155615240335E-12</v>
      </c>
      <c r="M12" s="3">
        <f>liability!M40-M11</f>
        <v>0</v>
      </c>
      <c r="N12" s="3">
        <f>liability!N40-N11</f>
        <v>-1.0000000000009095</v>
      </c>
      <c r="O12" s="3">
        <f>liability!O40-O11</f>
        <v>1.0000000000009095</v>
      </c>
      <c r="P12" s="3">
        <f>liability!P40-P11</f>
        <v>0</v>
      </c>
      <c r="Q12" s="121">
        <f>liability!Q40-Q11</f>
        <v>0</v>
      </c>
      <c r="R12" s="121">
        <f>liability!R40-R11</f>
        <v>0</v>
      </c>
      <c r="S12" s="121">
        <f>liability!S40-S11</f>
        <v>0</v>
      </c>
      <c r="T12" s="121">
        <f>liability!T40-T11</f>
        <v>0</v>
      </c>
      <c r="U12" s="121">
        <f>liability!U40-U11</f>
        <v>0</v>
      </c>
      <c r="V12" s="121">
        <f>liability!V40-V11</f>
        <v>0</v>
      </c>
      <c r="W12" s="121">
        <f>liability!W40-W11</f>
        <v>0</v>
      </c>
      <c r="X12" s="121">
        <f>liability!X40-X11</f>
        <v>0.99999999999272404</v>
      </c>
      <c r="Y12" s="121">
        <f>liability!Y40-Y11</f>
        <v>0.99999999999636202</v>
      </c>
      <c r="Z12" s="121">
        <f>liability!Z40-Z11</f>
        <v>-1.000000000007276</v>
      </c>
      <c r="AA12" s="121">
        <f>liability!AA40-AA11</f>
        <v>0</v>
      </c>
      <c r="AB12" s="505">
        <f>liability!AB40-AB11</f>
        <v>0</v>
      </c>
      <c r="AC12" s="79">
        <f>liability!AC40-AC11</f>
        <v>0</v>
      </c>
      <c r="AD12" s="79">
        <f>liability!AD40-AD11</f>
        <v>0</v>
      </c>
      <c r="AE12" s="79">
        <f>liability!AE40-AE11</f>
        <v>0</v>
      </c>
      <c r="AF12" s="240">
        <f>liability!AF40-AF11</f>
        <v>0</v>
      </c>
    </row>
    <row r="13" spans="1:32" s="3" customFormat="1" x14ac:dyDescent="0.2">
      <c r="Q13" s="121"/>
      <c r="R13" s="121"/>
      <c r="S13" s="121"/>
      <c r="T13" s="121"/>
      <c r="U13" s="121"/>
      <c r="V13" s="121"/>
      <c r="W13" s="121"/>
      <c r="X13" s="121"/>
      <c r="Y13" s="121"/>
      <c r="Z13" s="121"/>
      <c r="AA13" s="121"/>
      <c r="AB13" s="505"/>
      <c r="AC13" s="79"/>
      <c r="AD13" s="79"/>
      <c r="AE13" s="79"/>
      <c r="AF13" s="240"/>
    </row>
    <row r="14" spans="1:32" s="12" customFormat="1" ht="13.5" thickBot="1" x14ac:dyDescent="0.25">
      <c r="A14" s="46" t="s">
        <v>156</v>
      </c>
      <c r="B14" s="47" t="s">
        <v>26</v>
      </c>
      <c r="C14" s="47" t="s">
        <v>193</v>
      </c>
      <c r="D14" s="47" t="s">
        <v>34</v>
      </c>
      <c r="E14" s="47" t="s">
        <v>35</v>
      </c>
      <c r="F14" s="47" t="s">
        <v>36</v>
      </c>
      <c r="G14" s="47" t="s">
        <v>37</v>
      </c>
      <c r="H14" s="47" t="s">
        <v>38</v>
      </c>
      <c r="I14" s="47" t="s">
        <v>39</v>
      </c>
      <c r="J14" s="47" t="s">
        <v>40</v>
      </c>
      <c r="K14" s="47" t="s">
        <v>41</v>
      </c>
      <c r="L14" s="47" t="s">
        <v>42</v>
      </c>
      <c r="M14" s="47" t="s">
        <v>43</v>
      </c>
      <c r="N14" s="47" t="s">
        <v>44</v>
      </c>
      <c r="O14" s="47" t="s">
        <v>45</v>
      </c>
      <c r="P14" s="47" t="s">
        <v>168</v>
      </c>
      <c r="Q14" s="142" t="s">
        <v>169</v>
      </c>
      <c r="R14" s="142" t="s">
        <v>170</v>
      </c>
      <c r="S14" s="142" t="s">
        <v>171</v>
      </c>
      <c r="T14" s="142" t="s">
        <v>172</v>
      </c>
      <c r="U14" s="142" t="s">
        <v>173</v>
      </c>
      <c r="V14" s="142" t="s">
        <v>174</v>
      </c>
      <c r="W14" s="142" t="s">
        <v>175</v>
      </c>
      <c r="X14" s="142" t="s">
        <v>176</v>
      </c>
      <c r="Y14" s="142" t="s">
        <v>177</v>
      </c>
      <c r="Z14" s="142" t="s">
        <v>178</v>
      </c>
      <c r="AA14" s="142" t="s">
        <v>294</v>
      </c>
      <c r="AB14" s="508" t="s">
        <v>309</v>
      </c>
      <c r="AC14" s="97" t="s">
        <v>315</v>
      </c>
      <c r="AD14" s="97" t="s">
        <v>316</v>
      </c>
      <c r="AE14" s="97" t="s">
        <v>317</v>
      </c>
      <c r="AF14" s="264" t="s">
        <v>318</v>
      </c>
    </row>
    <row r="15" spans="1:32" s="3" customFormat="1" x14ac:dyDescent="0.2">
      <c r="Q15" s="121"/>
      <c r="R15" s="121"/>
      <c r="S15" s="121"/>
      <c r="T15" s="121"/>
      <c r="U15" s="121"/>
      <c r="V15" s="121"/>
      <c r="W15" s="121"/>
      <c r="X15" s="121"/>
      <c r="Y15" s="121"/>
      <c r="Z15" s="121"/>
      <c r="AA15" s="121"/>
      <c r="AB15" s="505"/>
      <c r="AC15" s="79"/>
      <c r="AD15" s="79"/>
      <c r="AE15" s="79"/>
      <c r="AF15" s="240"/>
    </row>
    <row r="16" spans="1:32" s="8" customFormat="1" x14ac:dyDescent="0.2">
      <c r="A16" s="8" t="s">
        <v>212</v>
      </c>
      <c r="B16" s="8" t="s">
        <v>31</v>
      </c>
      <c r="C16" s="48">
        <v>5084</v>
      </c>
      <c r="D16" s="50">
        <f>+C20</f>
        <v>5159.6350000000002</v>
      </c>
      <c r="E16" s="50">
        <f t="shared" ref="E16:Q16" si="2">+D20</f>
        <v>5170.0650000000005</v>
      </c>
      <c r="F16" s="50">
        <f t="shared" si="2"/>
        <v>4875.0575000000008</v>
      </c>
      <c r="G16" s="50">
        <f t="shared" si="2"/>
        <v>4902.1512500000008</v>
      </c>
      <c r="H16" s="50">
        <f>+G20+784</f>
        <v>4978.9387500000012</v>
      </c>
      <c r="I16" s="50">
        <f t="shared" si="2"/>
        <v>5033.326250000001</v>
      </c>
      <c r="J16" s="50">
        <f t="shared" si="2"/>
        <v>4588.0012500000012</v>
      </c>
      <c r="K16" s="50">
        <f t="shared" si="2"/>
        <v>3666.4900000000016</v>
      </c>
      <c r="L16" s="50">
        <f t="shared" si="2"/>
        <v>2464.6325000000015</v>
      </c>
      <c r="M16" s="50">
        <f t="shared" si="2"/>
        <v>1122.9150000000013</v>
      </c>
      <c r="N16" s="50">
        <f t="shared" si="2"/>
        <v>-677.92999999999847</v>
      </c>
      <c r="O16" s="50">
        <f t="shared" si="2"/>
        <v>-1640.6843699999986</v>
      </c>
      <c r="P16" s="50">
        <f t="shared" si="2"/>
        <v>-2295.2071959999985</v>
      </c>
      <c r="Q16" s="143">
        <f t="shared" si="2"/>
        <v>-2936.3103709999991</v>
      </c>
      <c r="R16" s="143">
        <f t="shared" ref="R16:AD16" si="3">+Q20</f>
        <v>-3612.6790049999995</v>
      </c>
      <c r="S16" s="143">
        <f t="shared" si="3"/>
        <v>-4256.338538</v>
      </c>
      <c r="T16" s="143">
        <f t="shared" si="3"/>
        <v>-4850.9054269999997</v>
      </c>
      <c r="U16" s="143">
        <f t="shared" si="3"/>
        <v>-6087.4688459999998</v>
      </c>
      <c r="V16" s="143">
        <f t="shared" si="3"/>
        <v>-8245.2938460000005</v>
      </c>
      <c r="W16" s="143">
        <f t="shared" si="3"/>
        <v>-10321.178467</v>
      </c>
      <c r="X16" s="143">
        <f t="shared" si="3"/>
        <v>-11922.581265571431</v>
      </c>
      <c r="Y16" s="143">
        <f t="shared" si="3"/>
        <v>-13584.082088571431</v>
      </c>
      <c r="Z16" s="143">
        <f t="shared" si="3"/>
        <v>-14615.76247254911</v>
      </c>
      <c r="AA16" s="143">
        <f t="shared" si="3"/>
        <v>-15807.512621549109</v>
      </c>
      <c r="AB16" s="509">
        <f t="shared" si="3"/>
        <v>-17744.647539549111</v>
      </c>
      <c r="AC16" s="98">
        <f t="shared" si="3"/>
        <v>-20689.208126849113</v>
      </c>
      <c r="AD16" s="98">
        <f t="shared" si="3"/>
        <v>-24912.972903008591</v>
      </c>
      <c r="AE16" s="98">
        <f>+AD20</f>
        <v>-30007.809970144801</v>
      </c>
      <c r="AF16" s="265">
        <f>+AE20</f>
        <v>-35805.331019408186</v>
      </c>
    </row>
    <row r="17" spans="1:33" s="3" customFormat="1" x14ac:dyDescent="0.2">
      <c r="A17" s="3" t="s">
        <v>211</v>
      </c>
      <c r="B17" s="3" t="s">
        <v>227</v>
      </c>
      <c r="C17" s="3">
        <f>expense!C33</f>
        <v>730.63499999999999</v>
      </c>
      <c r="D17" s="3">
        <f>expense!D33</f>
        <v>882.42999999999984</v>
      </c>
      <c r="E17" s="3">
        <f>expense!E33</f>
        <v>637.99249999999984</v>
      </c>
      <c r="F17" s="3">
        <f>expense!F33</f>
        <v>468.09375</v>
      </c>
      <c r="G17" s="3">
        <f>expense!G33</f>
        <v>642.78749999999991</v>
      </c>
      <c r="H17" s="3">
        <f>expense!H33</f>
        <v>740.38749999999982</v>
      </c>
      <c r="I17" s="3">
        <f>expense!I33</f>
        <v>480.67500000000018</v>
      </c>
      <c r="J17" s="3">
        <f>expense!J33</f>
        <v>210.48874999999998</v>
      </c>
      <c r="K17" s="3">
        <f>expense!K33</f>
        <v>-92.857500000000073</v>
      </c>
      <c r="L17" s="3">
        <f>expense!L33</f>
        <v>-674.7175000000002</v>
      </c>
      <c r="M17" s="3">
        <f>expense!M33</f>
        <v>-1165.8449999999998</v>
      </c>
      <c r="N17" s="3">
        <f>expense!N33</f>
        <v>-317.72000000000025</v>
      </c>
      <c r="O17" s="3">
        <f>expense!O33</f>
        <v>27.720000000000255</v>
      </c>
      <c r="P17" s="3">
        <f>expense!P33</f>
        <v>41.839999999999236</v>
      </c>
      <c r="Q17" s="121">
        <f>expense!Q33</f>
        <v>31.774999999999636</v>
      </c>
      <c r="R17" s="121">
        <f>expense!R33</f>
        <v>96.549999999999272</v>
      </c>
      <c r="S17" s="121">
        <f>expense!S33</f>
        <v>200.55000000000018</v>
      </c>
      <c r="T17" s="121">
        <f>expense!T33</f>
        <v>-428.34875000000011</v>
      </c>
      <c r="U17" s="121">
        <f>expense!U33</f>
        <v>-1087.8249999999998</v>
      </c>
      <c r="V17" s="121">
        <f>expense!V33</f>
        <v>-831.31446299999948</v>
      </c>
      <c r="W17" s="121">
        <f>expense!W33</f>
        <v>-285.14093257142963</v>
      </c>
      <c r="X17" s="121">
        <f>expense!X33</f>
        <v>-317.68786599999964</v>
      </c>
      <c r="Y17" s="121">
        <f>expense!Y33</f>
        <v>361.37658202232205</v>
      </c>
      <c r="Z17" s="121">
        <f>expense!Z33</f>
        <v>269.00579999999991</v>
      </c>
      <c r="AA17" s="121">
        <f>expense!AA33</f>
        <v>-411.33424700000046</v>
      </c>
      <c r="AB17" s="505">
        <f>expense!AB33</f>
        <v>-1346.3225000000011</v>
      </c>
      <c r="AC17" s="79">
        <f>expense!AC33</f>
        <v>-2559.5884511439053</v>
      </c>
      <c r="AD17" s="79">
        <f>expense!AD33</f>
        <v>-3362.2046241024304</v>
      </c>
      <c r="AE17" s="79">
        <f>expense!AE33</f>
        <v>-4003.3662563806988</v>
      </c>
      <c r="AF17" s="265">
        <f>expense!AF33</f>
        <v>-4549.7186385840378</v>
      </c>
    </row>
    <row r="18" spans="1:33" s="3" customFormat="1" x14ac:dyDescent="0.2">
      <c r="A18" s="3" t="s">
        <v>228</v>
      </c>
      <c r="B18" s="3" t="s">
        <v>214</v>
      </c>
      <c r="C18" s="3">
        <f>'Data Input'!D46*-1</f>
        <v>-655</v>
      </c>
      <c r="D18" s="3">
        <f>'Data Input'!E46*-1</f>
        <v>-872</v>
      </c>
      <c r="E18" s="3">
        <f>'Data Input'!F46*-1</f>
        <v>-933</v>
      </c>
      <c r="F18" s="3">
        <f>'Data Input'!G46*-1</f>
        <v>-441</v>
      </c>
      <c r="G18" s="3">
        <f>'Data Input'!H46*-1</f>
        <v>-566</v>
      </c>
      <c r="H18" s="3">
        <f>'Data Input'!I46*-1</f>
        <v>-686</v>
      </c>
      <c r="I18" s="3">
        <f>'Data Input'!J46*-1</f>
        <v>-926</v>
      </c>
      <c r="J18" s="3">
        <f>'Data Input'!K46*-1</f>
        <v>-1132</v>
      </c>
      <c r="K18" s="3">
        <f>'Data Input'!L46*-1</f>
        <v>-1109</v>
      </c>
      <c r="L18" s="3">
        <f>'Data Input'!M46*-1</f>
        <v>-667</v>
      </c>
      <c r="M18" s="3">
        <f>'Data Input'!N46*-1</f>
        <v>-635</v>
      </c>
      <c r="N18" s="3">
        <f>'Data Input'!O46*-1</f>
        <v>-645.03436999999997</v>
      </c>
      <c r="O18" s="3">
        <f>'Data Input'!P46*-1</f>
        <v>-676.24282600000004</v>
      </c>
      <c r="P18" s="3">
        <f>'Data Input'!Q46*-1</f>
        <v>-682.943175</v>
      </c>
      <c r="Q18" s="121">
        <f>'Data Input'!R46*-1</f>
        <v>-708.14363400000002</v>
      </c>
      <c r="R18" s="121">
        <f>'Data Input'!S46*-1</f>
        <v>-740.20953299999996</v>
      </c>
      <c r="S18" s="121">
        <f>'Data Input'!T46*-1</f>
        <v>-795.11688900000001</v>
      </c>
      <c r="T18" s="121">
        <f>'Data Input'!U46*-1</f>
        <v>-808.21466899999996</v>
      </c>
      <c r="U18" s="121">
        <f>'Data Input'!V46*-1</f>
        <v>-1070</v>
      </c>
      <c r="V18" s="121">
        <f>'Data Input'!W46*-1</f>
        <v>-1244.570158</v>
      </c>
      <c r="W18" s="121">
        <f>'Data Input'!X46*-1</f>
        <v>-1316.2618660000001</v>
      </c>
      <c r="X18" s="121">
        <f>'Data Input'!Y46*-1</f>
        <v>-1343.8129570000001</v>
      </c>
      <c r="Y18" s="121">
        <f>'Data Input'!Z46*-1</f>
        <v>-1393.0569660000001</v>
      </c>
      <c r="Z18" s="121">
        <f>'Data Input'!AA46*-1</f>
        <v>-1460.7559490000001</v>
      </c>
      <c r="AA18" s="121">
        <f>'Data Input'!AB46*-1</f>
        <v>-1525.800671</v>
      </c>
      <c r="AB18" s="505">
        <f>'Data Input'!AC46*-1</f>
        <v>-1598.2380873</v>
      </c>
      <c r="AC18" s="79">
        <f>'Data Input'!AD46*-1</f>
        <v>-1664.1763250155739</v>
      </c>
      <c r="AD18" s="79">
        <f>'Data Input'!AE46*-1</f>
        <v>-1732.632443033782</v>
      </c>
      <c r="AE18" s="79">
        <f>'Data Input'!AF46*-1</f>
        <v>-1794.1547928826822</v>
      </c>
      <c r="AF18" s="240">
        <f>'Data Input'!AG46*-1</f>
        <v>-1857.8091145237856</v>
      </c>
    </row>
    <row r="19" spans="1:33" s="3" customFormat="1" x14ac:dyDescent="0.2">
      <c r="A19" s="3" t="s">
        <v>215</v>
      </c>
      <c r="C19" s="24" t="s">
        <v>12</v>
      </c>
      <c r="D19" s="24" t="s">
        <v>12</v>
      </c>
      <c r="E19" s="24" t="s">
        <v>12</v>
      </c>
      <c r="F19" s="24" t="s">
        <v>12</v>
      </c>
      <c r="G19" s="24">
        <v>-784</v>
      </c>
      <c r="H19" s="24" t="s">
        <v>12</v>
      </c>
      <c r="I19" s="24" t="s">
        <v>12</v>
      </c>
      <c r="J19" s="24" t="s">
        <v>12</v>
      </c>
      <c r="K19" s="24" t="s">
        <v>12</v>
      </c>
      <c r="L19" s="24" t="s">
        <v>12</v>
      </c>
      <c r="M19" s="24" t="s">
        <v>12</v>
      </c>
      <c r="N19" s="24" t="s">
        <v>12</v>
      </c>
      <c r="O19" s="24">
        <v>-6</v>
      </c>
      <c r="P19" s="24" t="s">
        <v>12</v>
      </c>
      <c r="Q19" s="131" t="s">
        <v>12</v>
      </c>
      <c r="R19" s="131" t="s">
        <v>12</v>
      </c>
      <c r="S19" s="131" t="s">
        <v>12</v>
      </c>
      <c r="T19" s="131" t="s">
        <v>12</v>
      </c>
      <c r="U19" s="131" t="s">
        <v>12</v>
      </c>
      <c r="V19" s="131" t="s">
        <v>12</v>
      </c>
      <c r="W19" s="131" t="s">
        <v>12</v>
      </c>
      <c r="X19" s="131" t="s">
        <v>12</v>
      </c>
      <c r="Y19" s="131" t="s">
        <v>12</v>
      </c>
      <c r="Z19" s="131" t="s">
        <v>12</v>
      </c>
      <c r="AA19" s="131" t="s">
        <v>12</v>
      </c>
      <c r="AB19" s="510" t="s">
        <v>12</v>
      </c>
      <c r="AC19" s="86" t="s">
        <v>12</v>
      </c>
      <c r="AD19" s="86" t="s">
        <v>12</v>
      </c>
      <c r="AE19" s="86" t="s">
        <v>12</v>
      </c>
      <c r="AF19" s="247" t="s">
        <v>12</v>
      </c>
    </row>
    <row r="20" spans="1:33" s="8" customFormat="1" x14ac:dyDescent="0.2">
      <c r="A20" s="8" t="s">
        <v>213</v>
      </c>
      <c r="B20" s="8" t="s">
        <v>31</v>
      </c>
      <c r="C20" s="21">
        <f>SUM(C16:C19)</f>
        <v>5159.6350000000002</v>
      </c>
      <c r="D20" s="21">
        <f>SUM(D16:D19)</f>
        <v>5170.0650000000005</v>
      </c>
      <c r="E20" s="21">
        <f t="shared" ref="E20:Q20" si="4">SUM(E16:E19)</f>
        <v>4875.0575000000008</v>
      </c>
      <c r="F20" s="21">
        <f t="shared" si="4"/>
        <v>4902.1512500000008</v>
      </c>
      <c r="G20" s="21">
        <f t="shared" si="4"/>
        <v>4194.9387500000012</v>
      </c>
      <c r="H20" s="21">
        <f t="shared" si="4"/>
        <v>5033.326250000001</v>
      </c>
      <c r="I20" s="21">
        <f t="shared" si="4"/>
        <v>4588.0012500000012</v>
      </c>
      <c r="J20" s="21">
        <f t="shared" si="4"/>
        <v>3666.4900000000016</v>
      </c>
      <c r="K20" s="21">
        <f t="shared" si="4"/>
        <v>2464.6325000000015</v>
      </c>
      <c r="L20" s="21">
        <f t="shared" si="4"/>
        <v>1122.9150000000013</v>
      </c>
      <c r="M20" s="21">
        <f t="shared" si="4"/>
        <v>-677.92999999999847</v>
      </c>
      <c r="N20" s="21">
        <f t="shared" si="4"/>
        <v>-1640.6843699999986</v>
      </c>
      <c r="O20" s="21">
        <f t="shared" si="4"/>
        <v>-2295.2071959999985</v>
      </c>
      <c r="P20" s="21">
        <f t="shared" si="4"/>
        <v>-2936.3103709999991</v>
      </c>
      <c r="Q20" s="140">
        <f t="shared" si="4"/>
        <v>-3612.6790049999995</v>
      </c>
      <c r="R20" s="140">
        <f t="shared" ref="R20:AD20" si="5">SUM(R16:R19)</f>
        <v>-4256.338538</v>
      </c>
      <c r="S20" s="140">
        <f t="shared" si="5"/>
        <v>-4850.9054269999997</v>
      </c>
      <c r="T20" s="140">
        <f t="shared" si="5"/>
        <v>-6087.4688459999998</v>
      </c>
      <c r="U20" s="140">
        <f t="shared" si="5"/>
        <v>-8245.2938460000005</v>
      </c>
      <c r="V20" s="140">
        <f t="shared" si="5"/>
        <v>-10321.178467</v>
      </c>
      <c r="W20" s="140">
        <f t="shared" si="5"/>
        <v>-11922.581265571431</v>
      </c>
      <c r="X20" s="140">
        <f t="shared" si="5"/>
        <v>-13584.082088571431</v>
      </c>
      <c r="Y20" s="140">
        <f t="shared" si="5"/>
        <v>-14615.76247254911</v>
      </c>
      <c r="Z20" s="140">
        <f t="shared" si="5"/>
        <v>-15807.512621549109</v>
      </c>
      <c r="AA20" s="140">
        <f t="shared" si="5"/>
        <v>-17744.647539549111</v>
      </c>
      <c r="AB20" s="507">
        <f t="shared" si="5"/>
        <v>-20689.208126849113</v>
      </c>
      <c r="AC20" s="95">
        <f t="shared" si="5"/>
        <v>-24912.972903008591</v>
      </c>
      <c r="AD20" s="95">
        <f t="shared" si="5"/>
        <v>-30007.809970144801</v>
      </c>
      <c r="AE20" s="95">
        <f>SUM(AE16:AE19)</f>
        <v>-35805.331019408186</v>
      </c>
      <c r="AF20" s="261">
        <f>SUM(AF16:AF19)</f>
        <v>-42212.858772516011</v>
      </c>
    </row>
    <row r="21" spans="1:33" s="3" customFormat="1" x14ac:dyDescent="0.2">
      <c r="Q21" s="121"/>
      <c r="R21" s="121"/>
      <c r="S21" s="121"/>
      <c r="T21" s="121"/>
      <c r="U21" s="121"/>
      <c r="V21" s="121"/>
      <c r="W21" s="121"/>
      <c r="X21" s="121"/>
      <c r="Y21" s="121"/>
      <c r="Z21" s="121"/>
      <c r="AA21" s="121"/>
      <c r="AB21" s="505"/>
      <c r="AC21" s="79"/>
      <c r="AD21" s="79"/>
      <c r="AE21" s="79"/>
      <c r="AF21" s="240"/>
    </row>
    <row r="22" spans="1:33" s="9" customFormat="1" x14ac:dyDescent="0.2">
      <c r="A22" s="9" t="s">
        <v>216</v>
      </c>
      <c r="C22" s="9">
        <f>C20-C11</f>
        <v>893</v>
      </c>
      <c r="D22" s="9">
        <f>D20-D11</f>
        <v>944.63500000000022</v>
      </c>
      <c r="E22" s="9">
        <f t="shared" ref="E22:N22" si="6">E20-E11</f>
        <v>1180.6350000000002</v>
      </c>
      <c r="F22" s="9">
        <f t="shared" si="6"/>
        <v>1442.6350000000002</v>
      </c>
      <c r="G22" s="9">
        <f t="shared" si="6"/>
        <v>809.63500000000386</v>
      </c>
      <c r="H22" s="9">
        <f t="shared" si="6"/>
        <v>802.63500000000568</v>
      </c>
      <c r="I22" s="9">
        <f t="shared" si="6"/>
        <v>702.63500000000113</v>
      </c>
      <c r="J22" s="9">
        <f t="shared" si="6"/>
        <v>676.63499999999885</v>
      </c>
      <c r="K22" s="9">
        <f t="shared" si="6"/>
        <v>703.63500000000204</v>
      </c>
      <c r="L22" s="9">
        <f t="shared" si="6"/>
        <v>820.63500000000022</v>
      </c>
      <c r="M22" s="9">
        <f t="shared" si="6"/>
        <v>842.63500000000613</v>
      </c>
      <c r="N22" s="9">
        <f t="shared" si="6"/>
        <v>871.60063000000764</v>
      </c>
      <c r="O22" s="9">
        <f t="shared" ref="O22:U22" si="7">O20-O11</f>
        <v>898.3578040000084</v>
      </c>
      <c r="P22" s="9">
        <f t="shared" si="7"/>
        <v>944.41462900000761</v>
      </c>
      <c r="Q22" s="146">
        <f t="shared" si="7"/>
        <v>994.27099500001032</v>
      </c>
      <c r="R22" s="146">
        <f t="shared" si="7"/>
        <v>1045.061462000016</v>
      </c>
      <c r="S22" s="146">
        <f t="shared" si="7"/>
        <v>1069.9445730000125</v>
      </c>
      <c r="T22" s="146">
        <f t="shared" si="7"/>
        <v>1321.7299040000098</v>
      </c>
      <c r="U22" s="146">
        <f t="shared" si="7"/>
        <v>1407.7299040000144</v>
      </c>
      <c r="V22" s="146">
        <f t="shared" ref="V22:AA22" si="8">V20-V11</f>
        <v>1571.1597460000103</v>
      </c>
      <c r="W22" s="146">
        <f t="shared" si="8"/>
        <v>1602.8978800000095</v>
      </c>
      <c r="X22" s="146">
        <f t="shared" si="8"/>
        <v>1665.0849230000113</v>
      </c>
      <c r="Y22" s="146">
        <f t="shared" si="8"/>
        <v>1729.0279570000184</v>
      </c>
      <c r="Z22" s="146">
        <f t="shared" si="8"/>
        <v>1794.2720080000236</v>
      </c>
      <c r="AA22" s="146">
        <f t="shared" si="8"/>
        <v>1862.4713370000281</v>
      </c>
      <c r="AB22" s="511">
        <f>AB20-AB11</f>
        <v>1901.233249700017</v>
      </c>
      <c r="AC22" s="103">
        <f>AC20-AC11</f>
        <v>1941.080968400267</v>
      </c>
      <c r="AD22" s="103">
        <f>AD20-AD11</f>
        <v>1979.6335220877991</v>
      </c>
      <c r="AE22" s="103">
        <f>AE20-AE11</f>
        <v>2017.0220951504525</v>
      </c>
      <c r="AF22" s="266">
        <f>AF20-AF11</f>
        <v>2053.2063514524416</v>
      </c>
    </row>
    <row r="23" spans="1:33" s="3" customFormat="1" x14ac:dyDescent="0.2">
      <c r="Q23" s="121"/>
      <c r="R23" s="121"/>
      <c r="S23" s="121"/>
      <c r="T23" s="121"/>
      <c r="U23" s="121"/>
      <c r="V23" s="121"/>
      <c r="W23" s="121"/>
      <c r="X23" s="121"/>
      <c r="Y23" s="121"/>
      <c r="Z23" s="121"/>
      <c r="AA23" s="121"/>
      <c r="AB23" s="505"/>
      <c r="AC23" s="79"/>
      <c r="AD23" s="79"/>
      <c r="AE23" s="79"/>
      <c r="AF23" s="240"/>
    </row>
    <row r="24" spans="1:33" x14ac:dyDescent="0.2">
      <c r="A24" s="3" t="s">
        <v>343</v>
      </c>
      <c r="R24" s="106">
        <f>SUM(C10:R10)</f>
        <v>-150</v>
      </c>
    </row>
    <row r="25" spans="1:33" x14ac:dyDescent="0.2">
      <c r="A25" s="3" t="s">
        <v>233</v>
      </c>
      <c r="R25" s="106"/>
      <c r="S25" s="106">
        <f>'Data Input'!T40</f>
        <v>13.6</v>
      </c>
    </row>
    <row r="26" spans="1:33" x14ac:dyDescent="0.2">
      <c r="A26" s="3"/>
      <c r="R26" s="106"/>
    </row>
    <row r="27" spans="1:33" s="18" customFormat="1" ht="15.75" x14ac:dyDescent="0.25">
      <c r="A27" s="194" t="s">
        <v>344</v>
      </c>
      <c r="Q27" s="164"/>
      <c r="R27" s="165"/>
      <c r="S27" s="165">
        <f>R24/S25</f>
        <v>-11.029411764705882</v>
      </c>
      <c r="T27" s="165">
        <f t="shared" ref="T27:Y27" si="9">$S27</f>
        <v>-11.029411764705882</v>
      </c>
      <c r="U27" s="165">
        <f t="shared" si="9"/>
        <v>-11.029411764705882</v>
      </c>
      <c r="V27" s="165">
        <f t="shared" si="9"/>
        <v>-11.029411764705882</v>
      </c>
      <c r="W27" s="165">
        <f t="shared" si="9"/>
        <v>-11.029411764705882</v>
      </c>
      <c r="X27" s="165">
        <f t="shared" si="9"/>
        <v>-11.029411764705882</v>
      </c>
      <c r="Y27" s="165">
        <f t="shared" si="9"/>
        <v>-11.029411764705882</v>
      </c>
      <c r="Z27" s="165">
        <f>$S27</f>
        <v>-11.029411764705882</v>
      </c>
      <c r="AA27" s="165">
        <f>$S27</f>
        <v>-11.029411764705882</v>
      </c>
      <c r="AB27" s="512">
        <f>$S27</f>
        <v>-11.029411764705882</v>
      </c>
      <c r="AC27" s="166">
        <f>$S27+1</f>
        <v>-10.029411764705882</v>
      </c>
      <c r="AD27" s="166">
        <f>$S27+1</f>
        <v>-10.029411764705882</v>
      </c>
      <c r="AE27" s="166">
        <f>$S27+1</f>
        <v>-10.029411764705882</v>
      </c>
      <c r="AF27" s="267">
        <f>$S27+1</f>
        <v>-10.029411764705882</v>
      </c>
      <c r="AG27" s="167">
        <f>SUM(S27:AF27)</f>
        <v>-150.41176470588235</v>
      </c>
    </row>
    <row r="29" spans="1:33" x14ac:dyDescent="0.2">
      <c r="A29" s="3" t="s">
        <v>235</v>
      </c>
      <c r="S29" s="106">
        <f>$R24-SUM($S27:S27)</f>
        <v>-138.97058823529412</v>
      </c>
      <c r="T29" s="106">
        <f>$R24-SUM($S27:T27)</f>
        <v>-127.94117647058823</v>
      </c>
      <c r="U29" s="106">
        <f>$R24-SUM($S27:U27)</f>
        <v>-116.91176470588235</v>
      </c>
      <c r="V29" s="106">
        <f>$R24-SUM($S27:V27)</f>
        <v>-105.88235294117646</v>
      </c>
      <c r="W29" s="106">
        <f>$R24-SUM($S27:W27)</f>
        <v>-94.85294117647058</v>
      </c>
      <c r="X29" s="106">
        <f>$R24-SUM($S27:X27)</f>
        <v>-83.82352941176471</v>
      </c>
      <c r="Y29" s="106">
        <f>$R24-SUM($S27:Y27)</f>
        <v>-72.794117647058826</v>
      </c>
      <c r="Z29" s="106">
        <f>$R24-SUM($S27:Z27)</f>
        <v>-61.764705882352942</v>
      </c>
      <c r="AA29" s="106">
        <f>$R24-SUM($S27:AA27)</f>
        <v>-50.735294117647058</v>
      </c>
      <c r="AB29" s="390">
        <f>$R24-SUM($S27:AB27)</f>
        <v>-39.705882352941174</v>
      </c>
      <c r="AC29" s="85">
        <f>$R24-SUM($S27:AC27)</f>
        <v>-29.67647058823529</v>
      </c>
      <c r="AD29" s="85">
        <f>$R24-SUM($S27:AD27)</f>
        <v>-19.64705882352942</v>
      </c>
      <c r="AE29" s="85">
        <f>$R24-SUM($S27:AE27)</f>
        <v>-9.6176470588235361</v>
      </c>
      <c r="AF29" s="246">
        <f>$R24-SUM($S27:AF27)</f>
        <v>0.41176470588234793</v>
      </c>
    </row>
    <row r="30" spans="1:33" x14ac:dyDescent="0.2">
      <c r="A30" t="s">
        <v>345</v>
      </c>
      <c r="S30" s="159">
        <f>SUM($S27:S27)</f>
        <v>-11.029411764705882</v>
      </c>
      <c r="T30" s="159">
        <f>SUM($S27:T27)</f>
        <v>-22.058823529411764</v>
      </c>
      <c r="U30" s="159">
        <f>SUM($S27:U27)</f>
        <v>-33.088235294117645</v>
      </c>
      <c r="V30" s="159">
        <f>SUM($S27:V27)</f>
        <v>-44.117647058823529</v>
      </c>
      <c r="W30" s="159">
        <f>SUM($S27:W27)</f>
        <v>-55.147058823529413</v>
      </c>
      <c r="X30" s="159">
        <f>SUM($S27:X27)</f>
        <v>-66.17647058823529</v>
      </c>
      <c r="Y30" s="159">
        <f>SUM($S27:Y27)</f>
        <v>-77.205882352941174</v>
      </c>
      <c r="Z30" s="159">
        <f>SUM($S27:Z27)</f>
        <v>-88.235294117647058</v>
      </c>
      <c r="AA30" s="159">
        <f>SUM($S27:AA27)</f>
        <v>-99.264705882352942</v>
      </c>
      <c r="AB30" s="513">
        <f>SUM($S27:AB27)</f>
        <v>-110.29411764705883</v>
      </c>
      <c r="AC30" s="160">
        <f>SUM($S27:AC27)</f>
        <v>-120.32352941176471</v>
      </c>
      <c r="AD30" s="160">
        <f>SUM($S27:AD27)</f>
        <v>-130.35294117647058</v>
      </c>
      <c r="AE30" s="160">
        <f>SUM($S27:AE27)</f>
        <v>-140.38235294117646</v>
      </c>
      <c r="AF30" s="268">
        <f>SUM($S27:AF27)</f>
        <v>-150.41176470588235</v>
      </c>
    </row>
    <row r="32" spans="1:33" s="18" customFormat="1" ht="15.75" x14ac:dyDescent="0.25">
      <c r="A32" s="18" t="s">
        <v>203</v>
      </c>
      <c r="C32" s="163">
        <f t="shared" ref="C32:Y32" si="10">C22+C30</f>
        <v>893</v>
      </c>
      <c r="D32" s="163">
        <f t="shared" si="10"/>
        <v>944.63500000000022</v>
      </c>
      <c r="E32" s="163">
        <f t="shared" si="10"/>
        <v>1180.6350000000002</v>
      </c>
      <c r="F32" s="163">
        <f t="shared" si="10"/>
        <v>1442.6350000000002</v>
      </c>
      <c r="G32" s="163">
        <f t="shared" si="10"/>
        <v>809.63500000000386</v>
      </c>
      <c r="H32" s="163">
        <f t="shared" si="10"/>
        <v>802.63500000000568</v>
      </c>
      <c r="I32" s="163">
        <f t="shared" si="10"/>
        <v>702.63500000000113</v>
      </c>
      <c r="J32" s="163">
        <f t="shared" si="10"/>
        <v>676.63499999999885</v>
      </c>
      <c r="K32" s="163">
        <f t="shared" si="10"/>
        <v>703.63500000000204</v>
      </c>
      <c r="L32" s="163">
        <f t="shared" si="10"/>
        <v>820.63500000000022</v>
      </c>
      <c r="M32" s="163">
        <f t="shared" si="10"/>
        <v>842.63500000000613</v>
      </c>
      <c r="N32" s="163">
        <f t="shared" si="10"/>
        <v>871.60063000000764</v>
      </c>
      <c r="O32" s="163">
        <f t="shared" si="10"/>
        <v>898.3578040000084</v>
      </c>
      <c r="P32" s="163">
        <f t="shared" si="10"/>
        <v>944.41462900000761</v>
      </c>
      <c r="Q32" s="163">
        <f t="shared" si="10"/>
        <v>994.27099500001032</v>
      </c>
      <c r="R32" s="163">
        <f>R22+R30</f>
        <v>1045.061462000016</v>
      </c>
      <c r="S32" s="163">
        <f>S22+S30</f>
        <v>1058.9151612353066</v>
      </c>
      <c r="T32" s="163">
        <f t="shared" si="10"/>
        <v>1299.6710804705981</v>
      </c>
      <c r="U32" s="163">
        <f t="shared" si="10"/>
        <v>1374.6416687058968</v>
      </c>
      <c r="V32" s="163">
        <f t="shared" si="10"/>
        <v>1527.0420989411869</v>
      </c>
      <c r="W32" s="163">
        <f t="shared" si="10"/>
        <v>1547.75082117648</v>
      </c>
      <c r="X32" s="163">
        <f t="shared" si="10"/>
        <v>1598.9084524117759</v>
      </c>
      <c r="Y32" s="163">
        <f t="shared" si="10"/>
        <v>1651.8220746470772</v>
      </c>
      <c r="Z32" s="163">
        <f t="shared" ref="Z32:AD32" si="11">Z22+Z30</f>
        <v>1706.0367138823765</v>
      </c>
      <c r="AA32" s="163">
        <f t="shared" si="11"/>
        <v>1763.2066311176752</v>
      </c>
      <c r="AB32" s="514">
        <f t="shared" si="11"/>
        <v>1790.9391320529583</v>
      </c>
      <c r="AC32" s="168">
        <f t="shared" si="11"/>
        <v>1820.7574389885024</v>
      </c>
      <c r="AD32" s="168">
        <f t="shared" si="11"/>
        <v>1849.2805809113286</v>
      </c>
      <c r="AE32" s="168">
        <f>AE22+AE30</f>
        <v>1876.6397422092759</v>
      </c>
      <c r="AF32" s="269">
        <f>AF22+AF30</f>
        <v>1902.7945867465592</v>
      </c>
    </row>
  </sheetData>
  <phoneticPr fontId="0" type="noConversion"/>
  <pageMargins left="0.5" right="0.5" top="1" bottom="1" header="0.5" footer="0.5"/>
  <pageSetup paperSize="5" scale="76" orientation="landscape" r:id="rId1"/>
  <headerFooter alignWithMargins="0">
    <oddFooter>&amp;L&amp;"Arial,Bold"&amp;F&amp;C&amp;A&amp;R&amp;D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workbookViewId="0">
      <pane xSplit="1" ySplit="5" topLeftCell="K6" activePane="bottomRight" state="frozen"/>
      <selection activeCell="AF39" sqref="AF39"/>
      <selection pane="topRight" activeCell="AF39" sqref="AF39"/>
      <selection pane="bottomLeft" activeCell="AF39" sqref="AF39"/>
      <selection pane="bottomRight" activeCell="Z19" sqref="Z19"/>
    </sheetView>
  </sheetViews>
  <sheetFormatPr baseColWidth="10" defaultColWidth="9.140625" defaultRowHeight="12.75" outlineLevelCol="1" x14ac:dyDescent="0.2"/>
  <cols>
    <col min="1" max="1" width="35.140625" customWidth="1"/>
    <col min="2" max="2" width="41.140625" customWidth="1"/>
    <col min="3" max="8" width="9.140625" style="115"/>
    <col min="9" max="10" width="9.140625" style="115" customWidth="1"/>
    <col min="11" max="11" width="9.140625" style="488" customWidth="1"/>
    <col min="12" max="14" width="9.140625" style="76" customWidth="1" outlineLevel="1"/>
    <col min="15" max="15" width="9.140625" style="238" customWidth="1" outlineLevel="1"/>
    <col min="16" max="16" width="9.140625" customWidth="1" outlineLevel="1"/>
  </cols>
  <sheetData>
    <row r="1" spans="1:15" ht="15.75" x14ac:dyDescent="0.25">
      <c r="A1" s="18" t="s">
        <v>67</v>
      </c>
    </row>
    <row r="2" spans="1:15" x14ac:dyDescent="0.2">
      <c r="A2" s="2" t="s">
        <v>399</v>
      </c>
    </row>
    <row r="5" spans="1:15" s="2" customFormat="1" ht="13.5" thickBot="1" x14ac:dyDescent="0.25">
      <c r="A5" s="19" t="s">
        <v>1</v>
      </c>
      <c r="B5" s="20" t="s">
        <v>26</v>
      </c>
      <c r="C5" s="116">
        <v>2008</v>
      </c>
      <c r="D5" s="116">
        <v>2009</v>
      </c>
      <c r="E5" s="116">
        <v>2010</v>
      </c>
      <c r="F5" s="116">
        <v>2011</v>
      </c>
      <c r="G5" s="116">
        <v>2012</v>
      </c>
      <c r="H5" s="116">
        <v>2013</v>
      </c>
      <c r="I5" s="116">
        <v>2014</v>
      </c>
      <c r="J5" s="116">
        <v>2015</v>
      </c>
      <c r="K5" s="490">
        <v>2016</v>
      </c>
      <c r="L5" s="77">
        <v>2017</v>
      </c>
      <c r="M5" s="77">
        <v>2019</v>
      </c>
      <c r="N5" s="77">
        <v>2018</v>
      </c>
      <c r="O5" s="239">
        <v>2019</v>
      </c>
    </row>
    <row r="6" spans="1:15" s="296" customFormat="1" x14ac:dyDescent="0.2">
      <c r="C6" s="301"/>
      <c r="D6" s="301"/>
      <c r="E6" s="301"/>
      <c r="F6" s="301"/>
      <c r="G6" s="301"/>
      <c r="H6" s="301"/>
      <c r="I6" s="301"/>
      <c r="J6" s="301"/>
      <c r="K6" s="515"/>
      <c r="L6" s="237"/>
      <c r="M6" s="237"/>
      <c r="N6" s="237"/>
      <c r="O6" s="302"/>
    </row>
    <row r="7" spans="1:15" s="296" customFormat="1" x14ac:dyDescent="0.2">
      <c r="A7" s="296" t="s">
        <v>400</v>
      </c>
      <c r="B7" s="296" t="s">
        <v>157</v>
      </c>
      <c r="C7" s="301">
        <f>'Data Input'!V36</f>
        <v>0</v>
      </c>
      <c r="D7" s="301">
        <f>'Data Input'!W36</f>
        <v>0</v>
      </c>
      <c r="E7" s="301">
        <f>'Data Input'!X36</f>
        <v>0</v>
      </c>
      <c r="F7" s="301">
        <f>'Data Input'!Y36</f>
        <v>0</v>
      </c>
      <c r="G7" s="301">
        <f>'Data Input'!Z36</f>
        <v>0</v>
      </c>
      <c r="H7" s="301">
        <f>'Data Input'!AA36</f>
        <v>1</v>
      </c>
      <c r="I7" s="301">
        <f>'Data Input'!AB36</f>
        <v>1</v>
      </c>
      <c r="J7" s="301">
        <f>'Data Input'!AC36</f>
        <v>1</v>
      </c>
      <c r="K7" s="515">
        <f>'Data Input'!AD36</f>
        <v>0</v>
      </c>
      <c r="L7" s="237">
        <f>'Data Input'!AE36</f>
        <v>0</v>
      </c>
      <c r="M7" s="237">
        <f>'Data Input'!AF36</f>
        <v>0</v>
      </c>
      <c r="N7" s="237">
        <f>'Data Input'!AG36</f>
        <v>0</v>
      </c>
      <c r="O7" s="302">
        <f>'Data Input'!AH36</f>
        <v>0</v>
      </c>
    </row>
    <row r="8" spans="1:15" s="296" customFormat="1" x14ac:dyDescent="0.2">
      <c r="C8" s="301"/>
      <c r="D8" s="301"/>
      <c r="E8" s="301"/>
      <c r="F8" s="301"/>
      <c r="G8" s="301"/>
      <c r="H8" s="301"/>
      <c r="I8" s="301"/>
      <c r="J8" s="301"/>
      <c r="K8" s="515"/>
      <c r="L8" s="237"/>
      <c r="M8" s="237"/>
      <c r="N8" s="237"/>
      <c r="O8" s="302"/>
    </row>
    <row r="9" spans="1:15" s="12" customFormat="1" ht="13.5" thickBot="1" x14ac:dyDescent="0.25">
      <c r="A9" s="46" t="s">
        <v>156</v>
      </c>
      <c r="B9" s="47" t="s">
        <v>26</v>
      </c>
      <c r="C9" s="142" t="s">
        <v>173</v>
      </c>
      <c r="D9" s="142" t="s">
        <v>174</v>
      </c>
      <c r="E9" s="142" t="s">
        <v>175</v>
      </c>
      <c r="F9" s="142" t="s">
        <v>176</v>
      </c>
      <c r="G9" s="142" t="s">
        <v>177</v>
      </c>
      <c r="H9" s="142" t="s">
        <v>178</v>
      </c>
      <c r="I9" s="142" t="s">
        <v>294</v>
      </c>
      <c r="J9" s="142" t="s">
        <v>309</v>
      </c>
      <c r="K9" s="516" t="s">
        <v>315</v>
      </c>
      <c r="L9" s="97" t="s">
        <v>316</v>
      </c>
      <c r="M9" s="97" t="s">
        <v>317</v>
      </c>
      <c r="N9" s="97" t="s">
        <v>317</v>
      </c>
      <c r="O9" s="264" t="s">
        <v>317</v>
      </c>
    </row>
    <row r="10" spans="1:15" s="296" customFormat="1" x14ac:dyDescent="0.2">
      <c r="C10" s="301"/>
      <c r="D10" s="301"/>
      <c r="E10" s="301"/>
      <c r="F10" s="301"/>
      <c r="G10" s="301"/>
      <c r="H10" s="301"/>
      <c r="I10" s="301"/>
      <c r="J10" s="301"/>
      <c r="K10" s="515"/>
      <c r="L10" s="237"/>
      <c r="M10" s="237"/>
      <c r="N10" s="237"/>
      <c r="O10" s="302"/>
    </row>
    <row r="11" spans="1:15" s="8" customFormat="1" x14ac:dyDescent="0.2">
      <c r="A11" s="296" t="s">
        <v>401</v>
      </c>
      <c r="B11" s="296" t="s">
        <v>214</v>
      </c>
      <c r="C11" s="143">
        <f>'Data Input'!V44</f>
        <v>0</v>
      </c>
      <c r="D11" s="143">
        <f>'Data Input'!W44</f>
        <v>0</v>
      </c>
      <c r="E11" s="143">
        <f>'Data Input'!X44</f>
        <v>0</v>
      </c>
      <c r="F11" s="143">
        <f>'Data Input'!Y44</f>
        <v>0</v>
      </c>
      <c r="G11" s="143">
        <f>'Data Input'!Z44</f>
        <v>0</v>
      </c>
      <c r="H11" s="143">
        <f>'Data Input'!AA44</f>
        <v>1</v>
      </c>
      <c r="I11" s="143">
        <f>'Data Input'!AB44</f>
        <v>1</v>
      </c>
      <c r="J11" s="143">
        <f>'Data Input'!AC44</f>
        <v>1</v>
      </c>
      <c r="K11" s="517">
        <f>'Data Input'!AD44</f>
        <v>0</v>
      </c>
      <c r="L11" s="98">
        <f>'Data Input'!AE44</f>
        <v>0</v>
      </c>
      <c r="M11" s="98">
        <f>'Data Input'!AF44</f>
        <v>0</v>
      </c>
      <c r="N11" s="98">
        <f>'Data Input'!AG44</f>
        <v>0</v>
      </c>
      <c r="O11" s="265">
        <f>'Data Input'!AH44</f>
        <v>0</v>
      </c>
    </row>
    <row r="13" spans="1:15" s="18" customFormat="1" ht="15.75" x14ac:dyDescent="0.25">
      <c r="A13" s="18" t="s">
        <v>402</v>
      </c>
      <c r="C13" s="163">
        <f>C11</f>
        <v>0</v>
      </c>
      <c r="D13" s="163">
        <f>C13+D11</f>
        <v>0</v>
      </c>
      <c r="E13" s="163">
        <f t="shared" ref="E13:O13" si="0">D13+E11</f>
        <v>0</v>
      </c>
      <c r="F13" s="163">
        <f t="shared" si="0"/>
        <v>0</v>
      </c>
      <c r="G13" s="163">
        <f>F13+G11</f>
        <v>0</v>
      </c>
      <c r="H13" s="163">
        <f>G13+H11</f>
        <v>1</v>
      </c>
      <c r="I13" s="163">
        <f>H13+I11</f>
        <v>2</v>
      </c>
      <c r="J13" s="163">
        <f t="shared" si="0"/>
        <v>3</v>
      </c>
      <c r="K13" s="518">
        <f t="shared" si="0"/>
        <v>3</v>
      </c>
      <c r="L13" s="168">
        <f t="shared" si="0"/>
        <v>3</v>
      </c>
      <c r="M13" s="168">
        <f t="shared" si="0"/>
        <v>3</v>
      </c>
      <c r="N13" s="168">
        <f t="shared" si="0"/>
        <v>3</v>
      </c>
      <c r="O13" s="269">
        <f t="shared" si="0"/>
        <v>3</v>
      </c>
    </row>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21</vt:i4>
      </vt:variant>
      <vt:variant>
        <vt:lpstr>Plages nommées</vt:lpstr>
      </vt:variant>
      <vt:variant>
        <vt:i4>15</vt:i4>
      </vt:variant>
    </vt:vector>
  </HeadingPairs>
  <TitlesOfParts>
    <vt:vector size="36" baseType="lpstr">
      <vt:lpstr>Valuation Allowance</vt:lpstr>
      <vt:lpstr>liability</vt:lpstr>
      <vt:lpstr>expense</vt:lpstr>
      <vt:lpstr>Data Input</vt:lpstr>
      <vt:lpstr>Interest</vt:lpstr>
      <vt:lpstr>experience g(l)</vt:lpstr>
      <vt:lpstr>amendment</vt:lpstr>
      <vt:lpstr>year end</vt:lpstr>
      <vt:lpstr>CPI Special Payments</vt:lpstr>
      <vt:lpstr>contributions</vt:lpstr>
      <vt:lpstr>initial ufl</vt:lpstr>
      <vt:lpstr>RCA data</vt:lpstr>
      <vt:lpstr>RCA interest</vt:lpstr>
      <vt:lpstr>RCA exp g(l)</vt:lpstr>
      <vt:lpstr>RCA amend</vt:lpstr>
      <vt:lpstr>RCA exp</vt:lpstr>
      <vt:lpstr>RCA liab</vt:lpstr>
      <vt:lpstr>Summary</vt:lpstr>
      <vt:lpstr>OTTP PA Variance</vt:lpstr>
      <vt:lpstr>Smoothing</vt:lpstr>
      <vt:lpstr>Gain avai. for smoothing 2015</vt:lpstr>
      <vt:lpstr>'experience g(l)'!Impression_des_titres</vt:lpstr>
      <vt:lpstr>contributions!Zone_d_impression</vt:lpstr>
      <vt:lpstr>'CPI Special Payments'!Zone_d_impression</vt:lpstr>
      <vt:lpstr>'Data Input'!Zone_d_impression</vt:lpstr>
      <vt:lpstr>expense!Zone_d_impression</vt:lpstr>
      <vt:lpstr>'experience g(l)'!Zone_d_impression</vt:lpstr>
      <vt:lpstr>Interest!Zone_d_impression</vt:lpstr>
      <vt:lpstr>liability!Zone_d_impression</vt:lpstr>
      <vt:lpstr>'RCA data'!Zone_d_impression</vt:lpstr>
      <vt:lpstr>'RCA exp'!Zone_d_impression</vt:lpstr>
      <vt:lpstr>'RCA interest'!Zone_d_impression</vt:lpstr>
      <vt:lpstr>'RCA liab'!Zone_d_impression</vt:lpstr>
      <vt:lpstr>Smoothing!Zone_d_impression</vt:lpstr>
      <vt:lpstr>Summary!Zone_d_impression</vt:lpstr>
      <vt:lpstr>'year end'!Zone_d_impression</vt:lpstr>
    </vt:vector>
  </TitlesOfParts>
  <Company>Ministry of Finance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Teachers' Pension Plan Calculation File</dc:title>
  <dc:creator>Pauline Fong</dc:creator>
  <cp:lastModifiedBy>Martin Raymond</cp:lastModifiedBy>
  <cp:lastPrinted>2016-09-21T13:12:02Z</cp:lastPrinted>
  <dcterms:created xsi:type="dcterms:W3CDTF">2002-07-26T18:47:24Z</dcterms:created>
  <dcterms:modified xsi:type="dcterms:W3CDTF">2016-09-21T20:06:04Z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