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Clients\Gov Ont\Valuation Allowance\OTPP\Work Performed\"/>
    </mc:Choice>
  </mc:AlternateContent>
  <bookViews>
    <workbookView xWindow="-15" yWindow="-15" windowWidth="20520" windowHeight="3885" tabRatio="956"/>
  </bookViews>
  <sheets>
    <sheet name="excess surplus" sheetId="25" r:id="rId1"/>
    <sheet name="Data Input" sheetId="1" r:id="rId2"/>
    <sheet name="RCA data" sheetId="11" r:id="rId3"/>
    <sheet name="Interest" sheetId="2" r:id="rId4"/>
    <sheet name="RCA interest" sheetId="12" r:id="rId5"/>
    <sheet name="experience g(l)" sheetId="3" r:id="rId6"/>
    <sheet name="RCA exp g(l)" sheetId="13" r:id="rId7"/>
    <sheet name="amendment" sheetId="4" r:id="rId8"/>
    <sheet name="RCA amend" sheetId="14" r:id="rId9"/>
    <sheet name="initial ufl" sheetId="5" r:id="rId10"/>
    <sheet name="contributions" sheetId="6" r:id="rId11"/>
    <sheet name="year end" sheetId="9" r:id="rId12"/>
    <sheet name="CPI Special Payments" sheetId="19" r:id="rId13"/>
    <sheet name="expense" sheetId="10" r:id="rId14"/>
    <sheet name="RCA exp" sheetId="15" r:id="rId15"/>
    <sheet name="liability" sheetId="8" r:id="rId16"/>
    <sheet name="RCA liab" sheetId="16" r:id="rId17"/>
    <sheet name="Summary" sheetId="17" r:id="rId18"/>
    <sheet name="OTTP PA Variance" sheetId="18" r:id="rId19"/>
    <sheet name="Smoothing" sheetId="23" r:id="rId20"/>
    <sheet name="Gain avai. for smoothing 2015" sheetId="24" r:id="rId21"/>
  </sheets>
  <externalReferences>
    <externalReference r:id="rId22"/>
  </externalReferences>
  <definedNames>
    <definedName name="_xlnm.Print_Titles" localSheetId="5">'experience g(l)'!$1:$5</definedName>
    <definedName name="_xlnm.Print_Area" localSheetId="10">contributions!$A$1:$AU$52</definedName>
    <definedName name="_xlnm.Print_Area" localSheetId="12">'CPI Special Payments'!$A$1:$P$13</definedName>
    <definedName name="_xlnm.Print_Area" localSheetId="1">'Data Input'!$A$1:$AG$48</definedName>
    <definedName name="_xlnm.Print_Area" localSheetId="13">expense!$A$1:$AF$35</definedName>
    <definedName name="_xlnm.Print_Area" localSheetId="5">'experience g(l)'!$A$1:$AE$104</definedName>
    <definedName name="_xlnm.Print_Area" localSheetId="3">Interest!$A$1:$AF$29</definedName>
    <definedName name="_xlnm.Print_Area" localSheetId="15">liability!$A$1:$AF$39</definedName>
    <definedName name="_xlnm.Print_Area" localSheetId="2">'RCA data'!$A$1:$AB$34</definedName>
    <definedName name="_xlnm.Print_Area" localSheetId="14">'RCA exp'!$A$1:$Z$35</definedName>
    <definedName name="_xlnm.Print_Area" localSheetId="4">'RCA interest'!$A$1:$Z$14</definedName>
    <definedName name="_xlnm.Print_Area" localSheetId="16">'RCA liab'!$A$1:$AA$28</definedName>
    <definedName name="_xlnm.Print_Area" localSheetId="19">Smoothing!$A$1:$Z$39</definedName>
    <definedName name="_xlnm.Print_Area" localSheetId="17">Summary!$A$1:$AF$49</definedName>
    <definedName name="_xlnm.Print_Area" localSheetId="11">'year end'!$A$1:$AG$32</definedName>
  </definedNames>
  <calcPr calcId="152511" calcOnSave="0"/>
</workbook>
</file>

<file path=xl/calcChain.xml><?xml version="1.0" encoding="utf-8"?>
<calcChain xmlns="http://schemas.openxmlformats.org/spreadsheetml/2006/main">
  <c r="AN5" i="25" l="1"/>
  <c r="AO5" i="25" s="1"/>
  <c r="AP5" i="25" s="1"/>
  <c r="AQ5" i="25" s="1"/>
  <c r="AR5" i="25" s="1"/>
  <c r="AS5" i="25" s="1"/>
  <c r="AT5" i="25" s="1"/>
  <c r="AU5" i="25" s="1"/>
  <c r="AV5" i="25" s="1"/>
  <c r="AW5" i="25" s="1"/>
  <c r="AX5" i="25" s="1"/>
  <c r="AY5" i="25" s="1"/>
  <c r="AZ5" i="25" s="1"/>
  <c r="BA5" i="25" s="1"/>
  <c r="BB5" i="25" s="1"/>
  <c r="BC5" i="25" s="1"/>
  <c r="BD5" i="25" s="1"/>
  <c r="AN6" i="25"/>
  <c r="AO6" i="25" s="1"/>
  <c r="AP6" i="25" s="1"/>
  <c r="AQ6" i="25" s="1"/>
  <c r="AR6" i="25" s="1"/>
  <c r="AS6" i="25" s="1"/>
  <c r="AT6" i="25"/>
  <c r="AU6" i="25" s="1"/>
  <c r="AV6" i="25" s="1"/>
  <c r="AW6" i="25" s="1"/>
  <c r="AX6" i="25" s="1"/>
  <c r="AY6" i="25" s="1"/>
  <c r="AZ6" i="25" s="1"/>
  <c r="BA6" i="25" s="1"/>
  <c r="BB6" i="25" s="1"/>
  <c r="BC6" i="25" s="1"/>
  <c r="BD6" i="25" s="1"/>
  <c r="AN7" i="25"/>
  <c r="AO7" i="25"/>
  <c r="AP7" i="25" s="1"/>
  <c r="AQ7" i="25" s="1"/>
  <c r="AR7" i="25" s="1"/>
  <c r="AS7" i="25" s="1"/>
  <c r="AT7" i="25" s="1"/>
  <c r="AU7" i="25" s="1"/>
  <c r="AV7" i="25" s="1"/>
  <c r="AW7" i="25" s="1"/>
  <c r="AX7" i="25" s="1"/>
  <c r="AY7" i="25" s="1"/>
  <c r="AZ7" i="25" s="1"/>
  <c r="BA7" i="25" s="1"/>
  <c r="BB7" i="25" s="1"/>
  <c r="BC7" i="25" s="1"/>
  <c r="BD7" i="25" s="1"/>
  <c r="AN8" i="25"/>
  <c r="AN9" i="25"/>
  <c r="AO9" i="25" s="1"/>
  <c r="AP9" i="25" s="1"/>
  <c r="AQ9" i="25"/>
  <c r="AR9" i="25" s="1"/>
  <c r="AS9" i="25" s="1"/>
  <c r="AT9" i="25" s="1"/>
  <c r="AU9" i="25" s="1"/>
  <c r="AV9" i="25" s="1"/>
  <c r="AW9" i="25" s="1"/>
  <c r="AX9" i="25" s="1"/>
  <c r="AY9" i="25" s="1"/>
  <c r="AZ9" i="25" s="1"/>
  <c r="BA9" i="25" s="1"/>
  <c r="BB9" i="25" s="1"/>
  <c r="BC9" i="25" s="1"/>
  <c r="BD9" i="25" s="1"/>
  <c r="AN13" i="25"/>
  <c r="AN14" i="25"/>
  <c r="AN15" i="25"/>
  <c r="AN21" i="25"/>
  <c r="AO21" i="25" s="1"/>
  <c r="AP21" i="25" s="1"/>
  <c r="AQ21" i="25" s="1"/>
  <c r="AR21" i="25" s="1"/>
  <c r="AS21" i="25" s="1"/>
  <c r="AT21" i="25" s="1"/>
  <c r="AU21" i="25" s="1"/>
  <c r="AV21" i="25" s="1"/>
  <c r="AW21" i="25" s="1"/>
  <c r="AX21" i="25" s="1"/>
  <c r="AY21" i="25" s="1"/>
  <c r="AZ21" i="25" s="1"/>
  <c r="BA21" i="25" s="1"/>
  <c r="BB21" i="25" s="1"/>
  <c r="BC21" i="25" s="1"/>
  <c r="BD21" i="25" s="1"/>
  <c r="U59" i="25"/>
  <c r="V59" i="25"/>
  <c r="W59" i="25"/>
  <c r="X59" i="25"/>
  <c r="Y59" i="25"/>
  <c r="Z59" i="25"/>
  <c r="AA59" i="25"/>
  <c r="AB59" i="25"/>
  <c r="AC59" i="25"/>
  <c r="AD59" i="25"/>
  <c r="AE59" i="25"/>
  <c r="AF59" i="25"/>
  <c r="AG59" i="25"/>
  <c r="AH59" i="25"/>
  <c r="AI59" i="25"/>
  <c r="AJ59" i="25"/>
  <c r="AK59" i="25"/>
  <c r="AL59" i="25"/>
  <c r="AM59" i="25"/>
  <c r="R59" i="25"/>
  <c r="S59" i="25"/>
  <c r="T59" i="25"/>
  <c r="H59" i="25"/>
  <c r="I59" i="25"/>
  <c r="J59" i="25"/>
  <c r="K59" i="25"/>
  <c r="L59" i="25"/>
  <c r="M59" i="25"/>
  <c r="N59" i="25"/>
  <c r="O59" i="25"/>
  <c r="P59" i="25"/>
  <c r="Q59" i="25"/>
  <c r="G59" i="25"/>
  <c r="AF23" i="1"/>
  <c r="AE23" i="1"/>
  <c r="AD23" i="1"/>
  <c r="AC23" i="1"/>
  <c r="AB23" i="1"/>
  <c r="AA23" i="1"/>
  <c r="Z23" i="1"/>
  <c r="Y23" i="1"/>
  <c r="X23" i="1"/>
  <c r="AG23" i="1"/>
  <c r="B22" i="25"/>
  <c r="G7" i="25"/>
  <c r="H7" i="25" s="1"/>
  <c r="I7" i="25" s="1"/>
  <c r="J7" i="25" s="1"/>
  <c r="K7" i="25" s="1"/>
  <c r="L7" i="25" s="1"/>
  <c r="M7" i="25" s="1"/>
  <c r="N7" i="25" s="1"/>
  <c r="O7" i="25" s="1"/>
  <c r="P7" i="25" s="1"/>
  <c r="Q7" i="25" s="1"/>
  <c r="R7" i="25" s="1"/>
  <c r="S7" i="25" s="1"/>
  <c r="T7" i="25" s="1"/>
  <c r="U7" i="25" s="1"/>
  <c r="V7" i="25" s="1"/>
  <c r="W7" i="25" s="1"/>
  <c r="X7" i="25" s="1"/>
  <c r="Y7" i="25" s="1"/>
  <c r="Z7" i="25" s="1"/>
  <c r="AA7" i="25" s="1"/>
  <c r="AB7" i="25" s="1"/>
  <c r="AC7" i="25" s="1"/>
  <c r="AD7" i="25" s="1"/>
  <c r="AE7" i="25" s="1"/>
  <c r="AF7" i="25" s="1"/>
  <c r="AG7" i="25" s="1"/>
  <c r="AH7" i="25" s="1"/>
  <c r="AI7" i="25" s="1"/>
  <c r="AJ7" i="25" s="1"/>
  <c r="AK7" i="25" s="1"/>
  <c r="AL7" i="25" s="1"/>
  <c r="AM7" i="25" s="1"/>
  <c r="F6" i="25"/>
  <c r="G6" i="25" s="1"/>
  <c r="H6" i="25" s="1"/>
  <c r="I6" i="25" s="1"/>
  <c r="J6" i="25" s="1"/>
  <c r="K6" i="25" s="1"/>
  <c r="L6" i="25" s="1"/>
  <c r="M6" i="25" s="1"/>
  <c r="N6" i="25" s="1"/>
  <c r="O6" i="25" s="1"/>
  <c r="P6" i="25" s="1"/>
  <c r="Q6" i="25" s="1"/>
  <c r="R6" i="25" s="1"/>
  <c r="S6" i="25" s="1"/>
  <c r="T6" i="25" s="1"/>
  <c r="U6" i="25" s="1"/>
  <c r="V6" i="25" s="1"/>
  <c r="W6" i="25" s="1"/>
  <c r="X6" i="25" s="1"/>
  <c r="Y6" i="25" s="1"/>
  <c r="Z6" i="25" s="1"/>
  <c r="AA6" i="25" s="1"/>
  <c r="AB6" i="25" s="1"/>
  <c r="AC6" i="25" s="1"/>
  <c r="AD6" i="25" s="1"/>
  <c r="AE6" i="25" s="1"/>
  <c r="AF6" i="25" s="1"/>
  <c r="AG6" i="25" s="1"/>
  <c r="AH6" i="25" s="1"/>
  <c r="AI6" i="25" s="1"/>
  <c r="AJ6" i="25" s="1"/>
  <c r="AK6" i="25" s="1"/>
  <c r="AL6" i="25" s="1"/>
  <c r="AM6" i="25" s="1"/>
  <c r="F7" i="25"/>
  <c r="F8" i="25"/>
  <c r="G8" i="25" s="1"/>
  <c r="H8" i="25" s="1"/>
  <c r="I8" i="25" s="1"/>
  <c r="J8" i="25" s="1"/>
  <c r="K8" i="25" s="1"/>
  <c r="L8" i="25" s="1"/>
  <c r="M8" i="25" s="1"/>
  <c r="N8" i="25" s="1"/>
  <c r="O8" i="25" s="1"/>
  <c r="P8" i="25" s="1"/>
  <c r="Q8" i="25" s="1"/>
  <c r="R8" i="25" s="1"/>
  <c r="S8" i="25" s="1"/>
  <c r="T8" i="25" s="1"/>
  <c r="U8" i="25" s="1"/>
  <c r="V8" i="25" s="1"/>
  <c r="W8" i="25" s="1"/>
  <c r="X8" i="25" s="1"/>
  <c r="Y8" i="25" s="1"/>
  <c r="Z8" i="25" s="1"/>
  <c r="AA8" i="25" s="1"/>
  <c r="AB8" i="25" s="1"/>
  <c r="AC8" i="25" s="1"/>
  <c r="AD8" i="25" s="1"/>
  <c r="AE8" i="25" s="1"/>
  <c r="AF8" i="25" s="1"/>
  <c r="AG8" i="25" s="1"/>
  <c r="AH8" i="25" s="1"/>
  <c r="AI8" i="25" s="1"/>
  <c r="AJ8" i="25" s="1"/>
  <c r="AK8" i="25" s="1"/>
  <c r="AL8" i="25" s="1"/>
  <c r="AM8" i="25" s="1"/>
  <c r="F9" i="25"/>
  <c r="G9" i="25" s="1"/>
  <c r="H9" i="25" s="1"/>
  <c r="I9" i="25" s="1"/>
  <c r="J9" i="25" s="1"/>
  <c r="K9" i="25" s="1"/>
  <c r="L9" i="25" s="1"/>
  <c r="M9" i="25" s="1"/>
  <c r="N9" i="25" s="1"/>
  <c r="O9" i="25" s="1"/>
  <c r="P9" i="25" s="1"/>
  <c r="Q9" i="25" s="1"/>
  <c r="R9" i="25" s="1"/>
  <c r="S9" i="25" s="1"/>
  <c r="T9" i="25" s="1"/>
  <c r="U9" i="25" s="1"/>
  <c r="V9" i="25" s="1"/>
  <c r="W9" i="25" s="1"/>
  <c r="X9" i="25" s="1"/>
  <c r="Y9" i="25" s="1"/>
  <c r="Z9" i="25" s="1"/>
  <c r="AA9" i="25" s="1"/>
  <c r="AB9" i="25" s="1"/>
  <c r="AC9" i="25" s="1"/>
  <c r="AD9" i="25" s="1"/>
  <c r="AE9" i="25" s="1"/>
  <c r="AF9" i="25" s="1"/>
  <c r="AG9" i="25" s="1"/>
  <c r="AH9" i="25" s="1"/>
  <c r="AI9" i="25" s="1"/>
  <c r="AJ9" i="25" s="1"/>
  <c r="AK9" i="25" s="1"/>
  <c r="AL9" i="25" s="1"/>
  <c r="AM9" i="25" s="1"/>
  <c r="F5" i="25"/>
  <c r="G5" i="25" s="1"/>
  <c r="H5" i="25" s="1"/>
  <c r="I5" i="25" s="1"/>
  <c r="J5" i="25" s="1"/>
  <c r="K5" i="25" s="1"/>
  <c r="L5" i="25" s="1"/>
  <c r="M5" i="25" s="1"/>
  <c r="N5" i="25" s="1"/>
  <c r="O5" i="25" s="1"/>
  <c r="P5" i="25" s="1"/>
  <c r="Q5" i="25" s="1"/>
  <c r="R5" i="25" s="1"/>
  <c r="S5" i="25" s="1"/>
  <c r="T5" i="25" s="1"/>
  <c r="U5" i="25" s="1"/>
  <c r="V5" i="25" s="1"/>
  <c r="W5" i="25" s="1"/>
  <c r="X5" i="25" s="1"/>
  <c r="Y5" i="25" s="1"/>
  <c r="Z5" i="25" s="1"/>
  <c r="AA5" i="25" s="1"/>
  <c r="AB5" i="25" s="1"/>
  <c r="AC5" i="25" s="1"/>
  <c r="AD5" i="25" s="1"/>
  <c r="AE5" i="25" s="1"/>
  <c r="AF5" i="25" s="1"/>
  <c r="AG5" i="25" s="1"/>
  <c r="AH5" i="25" s="1"/>
  <c r="AI5" i="25" s="1"/>
  <c r="AJ5" i="25" s="1"/>
  <c r="AK5" i="25" s="1"/>
  <c r="AL5" i="25" s="1"/>
  <c r="AM5" i="25" s="1"/>
  <c r="E23" i="25"/>
  <c r="E32" i="25"/>
  <c r="F15" i="25" s="1"/>
  <c r="E31" i="25"/>
  <c r="F14" i="25" s="1"/>
  <c r="E21" i="25"/>
  <c r="E19" i="25"/>
  <c r="E17" i="25"/>
  <c r="F17" i="25" s="1"/>
  <c r="G17" i="25" s="1"/>
  <c r="E15" i="25"/>
  <c r="E14" i="25"/>
  <c r="AO8" i="25" l="1"/>
  <c r="AP8" i="25" s="1"/>
  <c r="AQ8" i="25" s="1"/>
  <c r="AR8" i="25" s="1"/>
  <c r="AS8" i="25" s="1"/>
  <c r="AT8" i="25" s="1"/>
  <c r="AU8" i="25" s="1"/>
  <c r="AV8" i="25" s="1"/>
  <c r="AW8" i="25" s="1"/>
  <c r="AX8" i="25" s="1"/>
  <c r="AY8" i="25" s="1"/>
  <c r="AZ8" i="25" s="1"/>
  <c r="BA8" i="25" s="1"/>
  <c r="BB8" i="25" s="1"/>
  <c r="BC8" i="25" s="1"/>
  <c r="BD8" i="25" s="1"/>
  <c r="AN17" i="25"/>
  <c r="AO17" i="25" s="1"/>
  <c r="AP17" i="25" s="1"/>
  <c r="AQ17" i="25" s="1"/>
  <c r="AR17" i="25" s="1"/>
  <c r="AS17" i="25" s="1"/>
  <c r="AT17" i="25" s="1"/>
  <c r="AU17" i="25" s="1"/>
  <c r="AV17" i="25" s="1"/>
  <c r="AW17" i="25" s="1"/>
  <c r="AX17" i="25" s="1"/>
  <c r="AY17" i="25" s="1"/>
  <c r="AZ17" i="25" s="1"/>
  <c r="BA17" i="25" s="1"/>
  <c r="BB17" i="25" s="1"/>
  <c r="BC17" i="25" s="1"/>
  <c r="BD17" i="25" s="1"/>
  <c r="AN22" i="25"/>
  <c r="AN19" i="25"/>
  <c r="AO19" i="25" s="1"/>
  <c r="AP19" i="25" s="1"/>
  <c r="AQ19" i="25" s="1"/>
  <c r="AR19" i="25" s="1"/>
  <c r="AS19" i="25" s="1"/>
  <c r="AT19" i="25" s="1"/>
  <c r="AU19" i="25" s="1"/>
  <c r="AV19" i="25" s="1"/>
  <c r="AW19" i="25" s="1"/>
  <c r="AX19" i="25" s="1"/>
  <c r="AY19" i="25" s="1"/>
  <c r="AZ19" i="25" s="1"/>
  <c r="BA19" i="25" s="1"/>
  <c r="BB19" i="25" s="1"/>
  <c r="BC19" i="25" s="1"/>
  <c r="BD19" i="25" s="1"/>
  <c r="AN23" i="25"/>
  <c r="F27" i="25"/>
  <c r="F23" i="25"/>
  <c r="F19" i="25"/>
  <c r="G19" i="25" s="1"/>
  <c r="H19" i="25" s="1"/>
  <c r="I19" i="25" s="1"/>
  <c r="J19" i="25" s="1"/>
  <c r="K19" i="25" s="1"/>
  <c r="L19" i="25" s="1"/>
  <c r="M19" i="25" s="1"/>
  <c r="N19" i="25" s="1"/>
  <c r="O19" i="25" s="1"/>
  <c r="P19" i="25" s="1"/>
  <c r="Q19" i="25" s="1"/>
  <c r="R19" i="25" s="1"/>
  <c r="S19" i="25" s="1"/>
  <c r="T19" i="25" s="1"/>
  <c r="U19" i="25" s="1"/>
  <c r="V19" i="25" s="1"/>
  <c r="W19" i="25" s="1"/>
  <c r="X19" i="25" s="1"/>
  <c r="Y19" i="25" s="1"/>
  <c r="Z19" i="25" s="1"/>
  <c r="AA19" i="25" s="1"/>
  <c r="AB19" i="25" s="1"/>
  <c r="AC19" i="25" s="1"/>
  <c r="AD19" i="25" s="1"/>
  <c r="AE19" i="25" s="1"/>
  <c r="AF19" i="25" s="1"/>
  <c r="AG19" i="25" s="1"/>
  <c r="AH19" i="25" s="1"/>
  <c r="AI19" i="25" s="1"/>
  <c r="AJ19" i="25" s="1"/>
  <c r="AK19" i="25" s="1"/>
  <c r="AL19" i="25" s="1"/>
  <c r="AM19" i="25" s="1"/>
  <c r="E27" i="25"/>
  <c r="E28" i="25" s="1"/>
  <c r="H17" i="25"/>
  <c r="I17" i="25" s="1"/>
  <c r="J17" i="25" s="1"/>
  <c r="K17" i="25" s="1"/>
  <c r="L17" i="25" s="1"/>
  <c r="M17" i="25" s="1"/>
  <c r="N17" i="25" s="1"/>
  <c r="O17" i="25" s="1"/>
  <c r="P17" i="25" s="1"/>
  <c r="Q17" i="25" s="1"/>
  <c r="R17" i="25" s="1"/>
  <c r="S17" i="25" s="1"/>
  <c r="T17" i="25" s="1"/>
  <c r="U17" i="25" s="1"/>
  <c r="V17" i="25" s="1"/>
  <c r="W17" i="25" s="1"/>
  <c r="X17" i="25" s="1"/>
  <c r="Y17" i="25" s="1"/>
  <c r="Z17" i="25" s="1"/>
  <c r="AA17" i="25" s="1"/>
  <c r="AB17" i="25" s="1"/>
  <c r="AC17" i="25" s="1"/>
  <c r="AD17" i="25" s="1"/>
  <c r="AE17" i="25" s="1"/>
  <c r="AF17" i="25" s="1"/>
  <c r="AG17" i="25" s="1"/>
  <c r="AH17" i="25" s="1"/>
  <c r="AI17" i="25" s="1"/>
  <c r="AJ17" i="25" s="1"/>
  <c r="AK17" i="25" s="1"/>
  <c r="AL17" i="25" s="1"/>
  <c r="AM17" i="25" s="1"/>
  <c r="E22" i="25"/>
  <c r="F22" i="25" s="1"/>
  <c r="G22" i="25" s="1"/>
  <c r="H22" i="25" s="1"/>
  <c r="I22" i="25" s="1"/>
  <c r="G23" i="25"/>
  <c r="H23" i="25" s="1"/>
  <c r="I23" i="25" s="1"/>
  <c r="J23" i="25" s="1"/>
  <c r="K23" i="25" s="1"/>
  <c r="L23" i="25" s="1"/>
  <c r="M23" i="25" s="1"/>
  <c r="N23" i="25" s="1"/>
  <c r="O23" i="25" s="1"/>
  <c r="P23" i="25" s="1"/>
  <c r="Q23" i="25" s="1"/>
  <c r="R23" i="25" s="1"/>
  <c r="S23" i="25" s="1"/>
  <c r="T23" i="25" s="1"/>
  <c r="U23" i="25" s="1"/>
  <c r="V23" i="25" s="1"/>
  <c r="W23" i="25" s="1"/>
  <c r="X23" i="25" s="1"/>
  <c r="Y23" i="25" s="1"/>
  <c r="Z23" i="25" s="1"/>
  <c r="F21" i="25"/>
  <c r="G21" i="25" s="1"/>
  <c r="H21" i="25" s="1"/>
  <c r="I21" i="25" s="1"/>
  <c r="J21" i="25" s="1"/>
  <c r="K21" i="25" s="1"/>
  <c r="L21" i="25" s="1"/>
  <c r="M21" i="25" s="1"/>
  <c r="N21" i="25" s="1"/>
  <c r="O21" i="25" s="1"/>
  <c r="P21" i="25" s="1"/>
  <c r="Q21" i="25" s="1"/>
  <c r="R21" i="25" s="1"/>
  <c r="S21" i="25" s="1"/>
  <c r="T21" i="25" s="1"/>
  <c r="U21" i="25" s="1"/>
  <c r="V21" i="25" s="1"/>
  <c r="W21" i="25" s="1"/>
  <c r="E37" i="25"/>
  <c r="E42" i="25"/>
  <c r="D32" i="18"/>
  <c r="AN26" i="25" l="1"/>
  <c r="AN31" i="25" s="1"/>
  <c r="AO14" i="25" s="1"/>
  <c r="AO23" i="25"/>
  <c r="AP23" i="25" s="1"/>
  <c r="AQ23" i="25" s="1"/>
  <c r="AR23" i="25" s="1"/>
  <c r="AS23" i="25" s="1"/>
  <c r="AT23" i="25" s="1"/>
  <c r="AU23" i="25" s="1"/>
  <c r="AV23" i="25" s="1"/>
  <c r="AW23" i="25" s="1"/>
  <c r="AX23" i="25" s="1"/>
  <c r="AY23" i="25" s="1"/>
  <c r="AZ23" i="25" s="1"/>
  <c r="BA23" i="25" s="1"/>
  <c r="BB23" i="25" s="1"/>
  <c r="BC23" i="25" s="1"/>
  <c r="BD23" i="25" s="1"/>
  <c r="AO22" i="25"/>
  <c r="AP22" i="25" s="1"/>
  <c r="AQ22" i="25" s="1"/>
  <c r="AR22" i="25" s="1"/>
  <c r="AS22" i="25" s="1"/>
  <c r="AT22" i="25" s="1"/>
  <c r="AU22" i="25" s="1"/>
  <c r="AV22" i="25" s="1"/>
  <c r="AW22" i="25" s="1"/>
  <c r="AX22" i="25" s="1"/>
  <c r="AY22" i="25" s="1"/>
  <c r="AZ22" i="25" s="1"/>
  <c r="BA22" i="25" s="1"/>
  <c r="BB22" i="25" s="1"/>
  <c r="BC22" i="25" s="1"/>
  <c r="BD22" i="25" s="1"/>
  <c r="AN25" i="25"/>
  <c r="AN30" i="25" s="1"/>
  <c r="AO13" i="25" s="1"/>
  <c r="F32" i="25"/>
  <c r="E25" i="25"/>
  <c r="E30" i="25" s="1"/>
  <c r="E36" i="25" s="1"/>
  <c r="AA23" i="25"/>
  <c r="AB23" i="25" s="1"/>
  <c r="AC23" i="25" s="1"/>
  <c r="AD23" i="25" s="1"/>
  <c r="AE23" i="25" s="1"/>
  <c r="AF23" i="25" s="1"/>
  <c r="AG23" i="25" s="1"/>
  <c r="AH23" i="25" s="1"/>
  <c r="AI23" i="25" s="1"/>
  <c r="AJ23" i="25" s="1"/>
  <c r="AK23" i="25" s="1"/>
  <c r="AL23" i="25" s="1"/>
  <c r="AM23" i="25" s="1"/>
  <c r="X21" i="25"/>
  <c r="Y21" i="25" s="1"/>
  <c r="Z21" i="25" s="1"/>
  <c r="AA21" i="25" s="1"/>
  <c r="AB21" i="25" s="1"/>
  <c r="AC21" i="25" s="1"/>
  <c r="AD21" i="25" s="1"/>
  <c r="AE21" i="25" s="1"/>
  <c r="AF21" i="25" s="1"/>
  <c r="AG21" i="25" s="1"/>
  <c r="AH21" i="25" s="1"/>
  <c r="AI21" i="25" s="1"/>
  <c r="AJ21" i="25" s="1"/>
  <c r="AK21" i="25" s="1"/>
  <c r="AL21" i="25" s="1"/>
  <c r="AM21" i="25" s="1"/>
  <c r="F26" i="25"/>
  <c r="F31" i="25" s="1"/>
  <c r="G14" i="25" s="1"/>
  <c r="G26" i="25" s="1"/>
  <c r="G31" i="25" s="1"/>
  <c r="H14" i="25" s="1"/>
  <c r="J22" i="25"/>
  <c r="G17" i="18"/>
  <c r="H17" i="18" s="1"/>
  <c r="C59" i="18"/>
  <c r="AO25" i="25" l="1"/>
  <c r="AO30" i="25" s="1"/>
  <c r="AP13" i="25" s="1"/>
  <c r="AO26" i="25"/>
  <c r="AO31" i="25"/>
  <c r="AP14" i="25" s="1"/>
  <c r="F48" i="25"/>
  <c r="F49" i="25"/>
  <c r="E41" i="25"/>
  <c r="F13" i="25"/>
  <c r="F25" i="25" s="1"/>
  <c r="F30" i="25" s="1"/>
  <c r="G13" i="25" s="1"/>
  <c r="G25" i="25" s="1"/>
  <c r="G30" i="25" s="1"/>
  <c r="H13" i="25" s="1"/>
  <c r="H25" i="25" s="1"/>
  <c r="H30" i="25" s="1"/>
  <c r="I13" i="25" s="1"/>
  <c r="I25" i="25" s="1"/>
  <c r="I30" i="25" s="1"/>
  <c r="J13" i="25" s="1"/>
  <c r="H26" i="25"/>
  <c r="H31" i="25" s="1"/>
  <c r="I14" i="25" s="1"/>
  <c r="I26" i="25" s="1"/>
  <c r="I31" i="25" s="1"/>
  <c r="J14" i="25" s="1"/>
  <c r="G15" i="25"/>
  <c r="F37" i="25"/>
  <c r="F42" i="25"/>
  <c r="K22" i="25"/>
  <c r="D12" i="18"/>
  <c r="AP25" i="25" l="1"/>
  <c r="AP30" i="25" s="1"/>
  <c r="AQ13" i="25" s="1"/>
  <c r="AP26" i="25"/>
  <c r="AP31" i="25" s="1"/>
  <c r="AQ14" i="25" s="1"/>
  <c r="G27" i="25"/>
  <c r="G32" i="25" s="1"/>
  <c r="F50" i="25"/>
  <c r="F51" i="25" s="1"/>
  <c r="F41" i="25"/>
  <c r="F36" i="25"/>
  <c r="J25" i="25"/>
  <c r="J30" i="25" s="1"/>
  <c r="K13" i="25" s="1"/>
  <c r="J26" i="25"/>
  <c r="J31" i="25" s="1"/>
  <c r="K14" i="25" s="1"/>
  <c r="L22" i="25"/>
  <c r="E12" i="18"/>
  <c r="AQ26" i="25" l="1"/>
  <c r="AQ31" i="25" s="1"/>
  <c r="AR14" i="25" s="1"/>
  <c r="AQ25" i="25"/>
  <c r="AQ30" i="25" s="1"/>
  <c r="AR13" i="25" s="1"/>
  <c r="G48" i="25"/>
  <c r="G49" i="25"/>
  <c r="H15" i="25"/>
  <c r="G42" i="25"/>
  <c r="G36" i="25"/>
  <c r="G41" i="25"/>
  <c r="G37" i="25"/>
  <c r="K25" i="25"/>
  <c r="K30" i="25" s="1"/>
  <c r="L13" i="25" s="1"/>
  <c r="K26" i="25"/>
  <c r="K31" i="25" s="1"/>
  <c r="L14" i="25" s="1"/>
  <c r="M22" i="25"/>
  <c r="H11" i="24"/>
  <c r="K8" i="24"/>
  <c r="H13" i="24" s="1"/>
  <c r="K7" i="24"/>
  <c r="B22" i="23"/>
  <c r="D38" i="23" s="1"/>
  <c r="B21" i="23"/>
  <c r="U21" i="23" s="1"/>
  <c r="B20" i="23"/>
  <c r="U20" i="23" s="1"/>
  <c r="T19" i="23"/>
  <c r="B19" i="23"/>
  <c r="S19" i="23" s="1"/>
  <c r="P18" i="23"/>
  <c r="B18" i="23"/>
  <c r="D34" i="23" s="1"/>
  <c r="Y17" i="23"/>
  <c r="B17" i="23"/>
  <c r="D33" i="23" s="1"/>
  <c r="Q16" i="23"/>
  <c r="O16" i="23"/>
  <c r="M16" i="23"/>
  <c r="B16" i="23"/>
  <c r="P16" i="23" s="1"/>
  <c r="M15" i="23"/>
  <c r="B15" i="23"/>
  <c r="N15" i="23" s="1"/>
  <c r="B14" i="23"/>
  <c r="N14" i="23" s="1"/>
  <c r="N13" i="23"/>
  <c r="M13" i="23"/>
  <c r="L13" i="23"/>
  <c r="K13" i="23"/>
  <c r="Y13" i="23" s="1"/>
  <c r="J13" i="23"/>
  <c r="J12" i="23"/>
  <c r="B12" i="23"/>
  <c r="K12" i="23" s="1"/>
  <c r="L11" i="23"/>
  <c r="K11" i="23"/>
  <c r="J11" i="23"/>
  <c r="I11" i="23"/>
  <c r="H11" i="23"/>
  <c r="Y11" i="23" s="1"/>
  <c r="K10" i="23"/>
  <c r="J10" i="23"/>
  <c r="I10" i="23"/>
  <c r="H10" i="23"/>
  <c r="G10" i="23"/>
  <c r="J9" i="23"/>
  <c r="J27" i="23" s="1"/>
  <c r="I9" i="23"/>
  <c r="H9" i="23"/>
  <c r="G9" i="23"/>
  <c r="F9" i="23"/>
  <c r="G8" i="23"/>
  <c r="B8" i="23"/>
  <c r="D30" i="23" s="1"/>
  <c r="H7" i="23"/>
  <c r="G7" i="23"/>
  <c r="F7" i="23"/>
  <c r="E7" i="23"/>
  <c r="D7" i="23"/>
  <c r="G6" i="23"/>
  <c r="F6" i="23"/>
  <c r="E6" i="23"/>
  <c r="D6" i="23"/>
  <c r="C6" i="23"/>
  <c r="Y6" i="23" s="1"/>
  <c r="AR25" i="25" l="1"/>
  <c r="AR30" i="25" s="1"/>
  <c r="AS13" i="25" s="1"/>
  <c r="AR26" i="25"/>
  <c r="AR31" i="25"/>
  <c r="AS14" i="25" s="1"/>
  <c r="G50" i="25"/>
  <c r="G51" i="25" s="1"/>
  <c r="G52" i="25" s="1"/>
  <c r="G33" i="25" s="1"/>
  <c r="G43" i="25" s="1"/>
  <c r="L25" i="25"/>
  <c r="L30" i="25" s="1"/>
  <c r="M13" i="25" s="1"/>
  <c r="L26" i="25"/>
  <c r="L31" i="25" s="1"/>
  <c r="M14" i="25" s="1"/>
  <c r="N22" i="25"/>
  <c r="I8" i="23"/>
  <c r="K14" i="23"/>
  <c r="O14" i="23"/>
  <c r="Y7" i="23"/>
  <c r="Y9" i="23"/>
  <c r="L14" i="23"/>
  <c r="E8" i="23"/>
  <c r="Y10" i="23"/>
  <c r="M14" i="23"/>
  <c r="T21" i="23"/>
  <c r="T22" i="23"/>
  <c r="S21" i="23"/>
  <c r="D37" i="23"/>
  <c r="P19" i="23"/>
  <c r="V21" i="23"/>
  <c r="R19" i="23"/>
  <c r="R21" i="23"/>
  <c r="T20" i="23"/>
  <c r="L12" i="23"/>
  <c r="O15" i="23"/>
  <c r="N25" i="23" s="1"/>
  <c r="R18" i="23"/>
  <c r="R20" i="23"/>
  <c r="V22" i="23"/>
  <c r="D31" i="23"/>
  <c r="D35" i="23"/>
  <c r="F8" i="23"/>
  <c r="Y8" i="23" s="1"/>
  <c r="I12" i="23"/>
  <c r="I27" i="23" s="1"/>
  <c r="M12" i="23"/>
  <c r="L15" i="23"/>
  <c r="P15" i="23"/>
  <c r="N16" i="23"/>
  <c r="N27" i="23" s="1"/>
  <c r="O18" i="23"/>
  <c r="S18" i="23"/>
  <c r="Q19" i="23"/>
  <c r="S20" i="23"/>
  <c r="S22" i="23"/>
  <c r="W22" i="23"/>
  <c r="H25" i="23"/>
  <c r="G27" i="23"/>
  <c r="K27" i="23"/>
  <c r="D32" i="23"/>
  <c r="D36" i="23"/>
  <c r="H12" i="24"/>
  <c r="H14" i="24" s="1"/>
  <c r="H16" i="24" s="1"/>
  <c r="K16" i="24" s="1"/>
  <c r="K18" i="24" s="1"/>
  <c r="K20" i="24" s="1"/>
  <c r="B23" i="23" s="1"/>
  <c r="H8" i="23"/>
  <c r="F25" i="23" s="1"/>
  <c r="Q18" i="23"/>
  <c r="Q20" i="23"/>
  <c r="U22" i="23"/>
  <c r="AS47" i="6"/>
  <c r="AG21" i="14"/>
  <c r="AG22" i="14"/>
  <c r="AG23" i="14"/>
  <c r="AG24" i="14"/>
  <c r="AG25" i="14"/>
  <c r="AG26" i="14"/>
  <c r="AG27" i="14"/>
  <c r="AG20" i="14"/>
  <c r="AN57" i="4"/>
  <c r="AN58" i="4"/>
  <c r="AN59" i="4"/>
  <c r="AN60" i="4"/>
  <c r="AN61" i="4"/>
  <c r="AN62" i="4"/>
  <c r="AN63" i="4"/>
  <c r="AN56" i="4"/>
  <c r="W17" i="11"/>
  <c r="AS25" i="25" l="1"/>
  <c r="AS30" i="25"/>
  <c r="AT13" i="25" s="1"/>
  <c r="AS26" i="25"/>
  <c r="AS31" i="25"/>
  <c r="AT14" i="25" s="1"/>
  <c r="G38" i="25"/>
  <c r="G55" i="25" s="1"/>
  <c r="M25" i="25"/>
  <c r="M30" i="25" s="1"/>
  <c r="N13" i="25" s="1"/>
  <c r="M26" i="25"/>
  <c r="M31" i="25" s="1"/>
  <c r="N14" i="25" s="1"/>
  <c r="O22" i="25"/>
  <c r="J25" i="23"/>
  <c r="Y19" i="23"/>
  <c r="Y14" i="23"/>
  <c r="Y15" i="23"/>
  <c r="M25" i="23"/>
  <c r="Y21" i="23"/>
  <c r="Q27" i="23"/>
  <c r="W23" i="23"/>
  <c r="V25" i="23" s="1"/>
  <c r="U23" i="23"/>
  <c r="U27" i="23" s="1"/>
  <c r="D39" i="23"/>
  <c r="X23" i="23"/>
  <c r="T23" i="23"/>
  <c r="T27" i="23" s="1"/>
  <c r="V23" i="23"/>
  <c r="V27" i="23" s="1"/>
  <c r="E39" i="23"/>
  <c r="R25" i="23"/>
  <c r="S27" i="23"/>
  <c r="Y20" i="23"/>
  <c r="Y22" i="23"/>
  <c r="Y18" i="23"/>
  <c r="M27" i="23"/>
  <c r="L25" i="23"/>
  <c r="Q25" i="23"/>
  <c r="R27" i="23"/>
  <c r="I25" i="23"/>
  <c r="L27" i="23"/>
  <c r="P25" i="23"/>
  <c r="Y12" i="23"/>
  <c r="K25" i="23"/>
  <c r="Y16" i="23"/>
  <c r="S25" i="23"/>
  <c r="G25" i="23"/>
  <c r="H27" i="23"/>
  <c r="O27" i="23"/>
  <c r="O25" i="23"/>
  <c r="P27" i="23"/>
  <c r="AC43" i="1"/>
  <c r="AC46" i="1" s="1"/>
  <c r="AT26" i="25" l="1"/>
  <c r="AT31" i="25" s="1"/>
  <c r="AU14" i="25" s="1"/>
  <c r="AT25" i="25"/>
  <c r="AT30" i="25"/>
  <c r="AU13" i="25" s="1"/>
  <c r="G56" i="25"/>
  <c r="H20" i="25" s="1"/>
  <c r="N25" i="25"/>
  <c r="N30" i="25" s="1"/>
  <c r="O13" i="25" s="1"/>
  <c r="N26" i="25"/>
  <c r="N31" i="25" s="1"/>
  <c r="O14" i="25" s="1"/>
  <c r="P22" i="25"/>
  <c r="W27" i="23"/>
  <c r="T25" i="23"/>
  <c r="Y23" i="23"/>
  <c r="Z23" i="23" s="1"/>
  <c r="U25" i="23"/>
  <c r="W25" i="23"/>
  <c r="X27" i="23"/>
  <c r="AC35" i="1"/>
  <c r="AG18" i="1"/>
  <c r="AC18" i="1"/>
  <c r="AC14" i="1"/>
  <c r="AC19" i="1"/>
  <c r="AC20" i="1"/>
  <c r="AU26" i="25" l="1"/>
  <c r="AU31" i="25" s="1"/>
  <c r="AV14" i="25" s="1"/>
  <c r="AU25" i="25"/>
  <c r="AU30" i="25" s="1"/>
  <c r="AV13" i="25" s="1"/>
  <c r="H18" i="25"/>
  <c r="H27" i="25"/>
  <c r="O25" i="25"/>
  <c r="O30" i="25" s="1"/>
  <c r="P13" i="25" s="1"/>
  <c r="O26" i="25"/>
  <c r="O31" i="25" s="1"/>
  <c r="P14" i="25" s="1"/>
  <c r="Q22" i="25"/>
  <c r="AF14" i="17"/>
  <c r="AF35" i="8"/>
  <c r="AF14" i="8" s="1"/>
  <c r="AF30" i="8"/>
  <c r="AF15" i="8"/>
  <c r="AF15" i="17" s="1"/>
  <c r="AF9" i="8"/>
  <c r="AF9" i="17" s="1"/>
  <c r="Z26" i="15"/>
  <c r="Z14" i="15" s="1"/>
  <c r="Z25" i="15"/>
  <c r="Z13" i="15" s="1"/>
  <c r="O11" i="19"/>
  <c r="O7" i="19"/>
  <c r="AF31" i="10"/>
  <c r="AF15" i="10" s="1"/>
  <c r="AF29" i="10"/>
  <c r="AF13" i="10" s="1"/>
  <c r="AF26" i="10"/>
  <c r="AF25" i="10"/>
  <c r="AF16" i="10"/>
  <c r="AF37" i="17" s="1"/>
  <c r="AF14" i="10"/>
  <c r="AF34" i="17" s="1"/>
  <c r="N11" i="19"/>
  <c r="N7" i="19"/>
  <c r="AF9" i="9"/>
  <c r="AC9" i="6"/>
  <c r="AC10" i="6"/>
  <c r="AC11" i="6"/>
  <c r="AK75" i="4"/>
  <c r="AL75" i="4"/>
  <c r="Z70" i="13"/>
  <c r="Z11" i="13"/>
  <c r="AE82" i="3"/>
  <c r="AE86" i="3" s="1"/>
  <c r="AE101" i="3"/>
  <c r="AE9" i="3"/>
  <c r="AE10" i="3"/>
  <c r="AE11" i="3"/>
  <c r="AE12" i="3"/>
  <c r="AE14" i="3"/>
  <c r="AE16" i="3"/>
  <c r="AE22" i="3"/>
  <c r="AE25" i="3"/>
  <c r="Z10" i="12"/>
  <c r="AV25" i="25" l="1"/>
  <c r="AV30" i="25" s="1"/>
  <c r="AW13" i="25" s="1"/>
  <c r="AV26" i="25"/>
  <c r="AV31" i="25"/>
  <c r="AW14" i="25" s="1"/>
  <c r="H32" i="25"/>
  <c r="H41" i="25" s="1"/>
  <c r="H49" i="25"/>
  <c r="H48" i="25"/>
  <c r="H50" i="25" s="1"/>
  <c r="H51" i="25" s="1"/>
  <c r="H52" i="25" s="1"/>
  <c r="H33" i="25" s="1"/>
  <c r="H37" i="25"/>
  <c r="H42" i="25"/>
  <c r="H36" i="25"/>
  <c r="I15" i="25"/>
  <c r="P25" i="25"/>
  <c r="P30" i="25" s="1"/>
  <c r="Q13" i="25" s="1"/>
  <c r="P26" i="25"/>
  <c r="P31" i="25" s="1"/>
  <c r="Q14" i="25" s="1"/>
  <c r="R22" i="25"/>
  <c r="AF33" i="17"/>
  <c r="AF36" i="17"/>
  <c r="AF8" i="8"/>
  <c r="AF10" i="10"/>
  <c r="Y10" i="12"/>
  <c r="AF28" i="2"/>
  <c r="AF23" i="2"/>
  <c r="AF21" i="2"/>
  <c r="AF14" i="2"/>
  <c r="AF12" i="2"/>
  <c r="AF11" i="2"/>
  <c r="AF10" i="2"/>
  <c r="AF9" i="2"/>
  <c r="AF8" i="2"/>
  <c r="AF21" i="1"/>
  <c r="AF22" i="1" s="1"/>
  <c r="AF28" i="1"/>
  <c r="AE20" i="3" s="1"/>
  <c r="AF38" i="1"/>
  <c r="AF46" i="1"/>
  <c r="AG46" i="1"/>
  <c r="AG38" i="1"/>
  <c r="AE23" i="3" s="1"/>
  <c r="AG28" i="1"/>
  <c r="AG21" i="1"/>
  <c r="AG22" i="1" s="1"/>
  <c r="AW25" i="25" l="1"/>
  <c r="AW30" i="25" s="1"/>
  <c r="AX13" i="25" s="1"/>
  <c r="AW26" i="25"/>
  <c r="AW31" i="25"/>
  <c r="AX14" i="25" s="1"/>
  <c r="H38" i="25"/>
  <c r="H55" i="25" s="1"/>
  <c r="H43" i="25"/>
  <c r="Q25" i="25"/>
  <c r="Q30" i="25" s="1"/>
  <c r="R13" i="25" s="1"/>
  <c r="Q26" i="25"/>
  <c r="Q31" i="25" s="1"/>
  <c r="R14" i="25" s="1"/>
  <c r="S22" i="25"/>
  <c r="AF13" i="2"/>
  <c r="AF23" i="8"/>
  <c r="AF18" i="9"/>
  <c r="AC8" i="6"/>
  <c r="AC12" i="6" s="1"/>
  <c r="AC15" i="6" s="1"/>
  <c r="AE27" i="3"/>
  <c r="AF32" i="8"/>
  <c r="AF18" i="2"/>
  <c r="AF20" i="2"/>
  <c r="AF22" i="2" s="1"/>
  <c r="AF24" i="2" s="1"/>
  <c r="AF27" i="2" s="1"/>
  <c r="AF15" i="2"/>
  <c r="AX25" i="25" l="1"/>
  <c r="AX30" i="25" s="1"/>
  <c r="AY13" i="25" s="1"/>
  <c r="AX26" i="25"/>
  <c r="AX31" i="25" s="1"/>
  <c r="AY14" i="25" s="1"/>
  <c r="H56" i="25"/>
  <c r="I20" i="25" s="1"/>
  <c r="R25" i="25"/>
  <c r="R30" i="25" s="1"/>
  <c r="S13" i="25" s="1"/>
  <c r="R26" i="25"/>
  <c r="R31" i="25" s="1"/>
  <c r="S14" i="25" s="1"/>
  <c r="T22" i="25"/>
  <c r="AF10" i="8"/>
  <c r="AF33" i="8"/>
  <c r="AE24" i="3"/>
  <c r="AE26" i="3" s="1"/>
  <c r="AE28" i="3" s="1"/>
  <c r="AE32" i="3" s="1"/>
  <c r="AF26" i="2"/>
  <c r="AF29" i="2" s="1"/>
  <c r="AF28" i="10" s="1"/>
  <c r="AF12" i="10" s="1"/>
  <c r="AE13" i="3"/>
  <c r="AE15" i="3" s="1"/>
  <c r="AE17" i="3" s="1"/>
  <c r="AE31" i="3" s="1"/>
  <c r="AY26" i="25" l="1"/>
  <c r="AY31" i="25" s="1"/>
  <c r="AZ14" i="25" s="1"/>
  <c r="AY25" i="25"/>
  <c r="AY30" i="25" s="1"/>
  <c r="AZ13" i="25" s="1"/>
  <c r="I18" i="25"/>
  <c r="I27" i="25" s="1"/>
  <c r="S25" i="25"/>
  <c r="S30" i="25" s="1"/>
  <c r="T13" i="25" s="1"/>
  <c r="S26" i="25"/>
  <c r="S31" i="25" s="1"/>
  <c r="T14" i="25" s="1"/>
  <c r="U22" i="25"/>
  <c r="AE33" i="3"/>
  <c r="AE100" i="3" s="1"/>
  <c r="AZ25" i="25" l="1"/>
  <c r="AZ30" i="25" s="1"/>
  <c r="BA13" i="25" s="1"/>
  <c r="AZ26" i="25"/>
  <c r="AZ31" i="25"/>
  <c r="BA14" i="25" s="1"/>
  <c r="I32" i="25"/>
  <c r="J15" i="25" s="1"/>
  <c r="I37" i="25"/>
  <c r="I36" i="25"/>
  <c r="I49" i="25"/>
  <c r="I48" i="25"/>
  <c r="T25" i="25"/>
  <c r="T30" i="25" s="1"/>
  <c r="U13" i="25" s="1"/>
  <c r="T26" i="25"/>
  <c r="T31" i="25" s="1"/>
  <c r="U14" i="25" s="1"/>
  <c r="V22" i="25"/>
  <c r="W22" i="25" s="1"/>
  <c r="X22" i="25" s="1"/>
  <c r="Y22" i="25" s="1"/>
  <c r="Z22" i="25" s="1"/>
  <c r="AA22" i="25" s="1"/>
  <c r="AB22" i="25" s="1"/>
  <c r="D59" i="18"/>
  <c r="E59" i="18" s="1"/>
  <c r="B59" i="18"/>
  <c r="BA25" i="25" l="1"/>
  <c r="BA30" i="25"/>
  <c r="BB13" i="25" s="1"/>
  <c r="BA26" i="25"/>
  <c r="BA31" i="25"/>
  <c r="BB14" i="25" s="1"/>
  <c r="I42" i="25"/>
  <c r="I41" i="25"/>
  <c r="I50" i="25"/>
  <c r="I51" i="25" s="1"/>
  <c r="I52" i="25" s="1"/>
  <c r="I33" i="25" s="1"/>
  <c r="AC22" i="25"/>
  <c r="AD22" i="25" s="1"/>
  <c r="AE22" i="25" s="1"/>
  <c r="AF22" i="25" s="1"/>
  <c r="AG22" i="25" s="1"/>
  <c r="AH22" i="25" s="1"/>
  <c r="AI22" i="25" s="1"/>
  <c r="AJ22" i="25" s="1"/>
  <c r="AK22" i="25" s="1"/>
  <c r="AL22" i="25" s="1"/>
  <c r="AM22" i="25" s="1"/>
  <c r="U25" i="25"/>
  <c r="U30" i="25" s="1"/>
  <c r="V13" i="25" s="1"/>
  <c r="U26" i="25"/>
  <c r="U31" i="25" s="1"/>
  <c r="V14" i="25" s="1"/>
  <c r="G32" i="18"/>
  <c r="H32" i="18" s="1"/>
  <c r="V17" i="11"/>
  <c r="AB28" i="1"/>
  <c r="AC28" i="1"/>
  <c r="BB26" i="25" l="1"/>
  <c r="BB31" i="25" s="1"/>
  <c r="BC14" i="25" s="1"/>
  <c r="BB25" i="25"/>
  <c r="BB30" i="25"/>
  <c r="BC13" i="25" s="1"/>
  <c r="I38" i="25"/>
  <c r="I55" i="25" s="1"/>
  <c r="I43" i="25"/>
  <c r="V25" i="25"/>
  <c r="V30" i="25" s="1"/>
  <c r="W13" i="25" s="1"/>
  <c r="W25" i="25" s="1"/>
  <c r="W30" i="25" s="1"/>
  <c r="X13" i="25" s="1"/>
  <c r="X25" i="25" s="1"/>
  <c r="X30" i="25" s="1"/>
  <c r="Y13" i="25" s="1"/>
  <c r="V26" i="25"/>
  <c r="V31" i="25" s="1"/>
  <c r="W14" i="25" s="1"/>
  <c r="AB20" i="1"/>
  <c r="BC26" i="25" l="1"/>
  <c r="BC31" i="25" s="1"/>
  <c r="BD14" i="25" s="1"/>
  <c r="BC25" i="25"/>
  <c r="BC30" i="25" s="1"/>
  <c r="BD13" i="25" s="1"/>
  <c r="I56" i="25"/>
  <c r="J20" i="25" s="1"/>
  <c r="W26" i="25"/>
  <c r="W31" i="25" s="1"/>
  <c r="X14" i="25" s="1"/>
  <c r="X26" i="25" s="1"/>
  <c r="X31" i="25" s="1"/>
  <c r="Y14" i="25" s="1"/>
  <c r="Y26" i="25" s="1"/>
  <c r="Y31" i="25" s="1"/>
  <c r="Z14" i="25" s="1"/>
  <c r="Y25" i="25"/>
  <c r="Y30" i="25" s="1"/>
  <c r="Z13" i="25" s="1"/>
  <c r="AA9" i="2"/>
  <c r="BD25" i="25" l="1"/>
  <c r="BD30" i="25" s="1"/>
  <c r="BD26" i="25"/>
  <c r="BD31" i="25" s="1"/>
  <c r="J18" i="25"/>
  <c r="J27" i="25"/>
  <c r="Z25" i="25"/>
  <c r="Z30" i="25" s="1"/>
  <c r="AA13" i="25" s="1"/>
  <c r="AA25" i="25" s="1"/>
  <c r="AA30" i="25" s="1"/>
  <c r="AB13" i="25" s="1"/>
  <c r="AB25" i="25" s="1"/>
  <c r="AB30" i="25" s="1"/>
  <c r="AC13" i="25" s="1"/>
  <c r="Z26" i="25"/>
  <c r="Z31" i="25" s="1"/>
  <c r="AA14" i="25" s="1"/>
  <c r="AE38" i="14"/>
  <c r="AD37" i="14"/>
  <c r="AD51" i="13"/>
  <c r="AE51" i="13"/>
  <c r="AE55" i="13" s="1"/>
  <c r="AF51" i="13"/>
  <c r="AF55" i="13" s="1"/>
  <c r="AG51" i="13"/>
  <c r="AG55" i="13" s="1"/>
  <c r="AH51" i="13"/>
  <c r="AH55" i="13" s="1"/>
  <c r="AB43" i="1"/>
  <c r="AB46" i="1" s="1"/>
  <c r="AB35" i="1"/>
  <c r="J32" i="25" l="1"/>
  <c r="J36" i="25" s="1"/>
  <c r="J37" i="25"/>
  <c r="J42" i="25"/>
  <c r="J41" i="25"/>
  <c r="J48" i="25"/>
  <c r="J49" i="25"/>
  <c r="AC25" i="25"/>
  <c r="AC30" i="25" s="1"/>
  <c r="AD13" i="25" s="1"/>
  <c r="AD25" i="25" s="1"/>
  <c r="AD30" i="25" s="1"/>
  <c r="AE13" i="25" s="1"/>
  <c r="AA26" i="25"/>
  <c r="AA31" i="25" s="1"/>
  <c r="AB14" i="25" s="1"/>
  <c r="AB26" i="25" s="1"/>
  <c r="AB31" i="25" s="1"/>
  <c r="AC14" i="25" s="1"/>
  <c r="AC26" i="25" s="1"/>
  <c r="AC31" i="25" s="1"/>
  <c r="AD14" i="25" s="1"/>
  <c r="AD26" i="25" s="1"/>
  <c r="AD31" i="25" s="1"/>
  <c r="AE14" i="25" s="1"/>
  <c r="J17" i="18"/>
  <c r="K17" i="18" s="1"/>
  <c r="K15" i="25" l="1"/>
  <c r="J50" i="25"/>
  <c r="J51" i="25" s="1"/>
  <c r="J52" i="25" s="1"/>
  <c r="J33" i="25" s="1"/>
  <c r="AE25" i="25"/>
  <c r="AE30" i="25" s="1"/>
  <c r="AF13" i="25" s="1"/>
  <c r="AF25" i="25" s="1"/>
  <c r="AF30" i="25" s="1"/>
  <c r="AG13" i="25" s="1"/>
  <c r="AG25" i="25" s="1"/>
  <c r="AG30" i="25" s="1"/>
  <c r="AH13" i="25" s="1"/>
  <c r="AE26" i="25"/>
  <c r="AE31" i="25" s="1"/>
  <c r="AF14" i="25" s="1"/>
  <c r="AF26" i="25" s="1"/>
  <c r="AF31" i="25" s="1"/>
  <c r="AG14" i="25" s="1"/>
  <c r="AG26" i="25" s="1"/>
  <c r="AG31" i="25" s="1"/>
  <c r="AH14" i="25" s="1"/>
  <c r="AA46" i="1"/>
  <c r="AA43" i="1"/>
  <c r="AA44" i="1"/>
  <c r="AA35" i="1"/>
  <c r="AA38" i="1" s="1"/>
  <c r="J43" i="25" l="1"/>
  <c r="J38" i="25"/>
  <c r="J55" i="25" s="1"/>
  <c r="AH26" i="25"/>
  <c r="AH31" i="25" s="1"/>
  <c r="AI14" i="25" s="1"/>
  <c r="AI26" i="25" s="1"/>
  <c r="AI31" i="25" s="1"/>
  <c r="AJ14" i="25" s="1"/>
  <c r="AJ26" i="25" s="1"/>
  <c r="AJ31" i="25" s="1"/>
  <c r="AK14" i="25" s="1"/>
  <c r="AK26" i="25" s="1"/>
  <c r="AK31" i="25" s="1"/>
  <c r="AL14" i="25" s="1"/>
  <c r="AH25" i="25"/>
  <c r="AH30" i="25" s="1"/>
  <c r="AI13" i="25" s="1"/>
  <c r="AI25" i="25" s="1"/>
  <c r="AI30" i="25" s="1"/>
  <c r="AJ13" i="25" s="1"/>
  <c r="AE35" i="8"/>
  <c r="AE14" i="8" s="1"/>
  <c r="AE14" i="17" s="1"/>
  <c r="AE30" i="8"/>
  <c r="AE8" i="8" s="1"/>
  <c r="AE15" i="8"/>
  <c r="AE15" i="17" s="1"/>
  <c r="AE9" i="8"/>
  <c r="AE9" i="17" s="1"/>
  <c r="Y26" i="15"/>
  <c r="Y14" i="15" s="1"/>
  <c r="Y25" i="15"/>
  <c r="Y13" i="15" s="1"/>
  <c r="AE31" i="10"/>
  <c r="AE15" i="10" s="1"/>
  <c r="AE29" i="10"/>
  <c r="AE13" i="10" s="1"/>
  <c r="AE26" i="10"/>
  <c r="AE25" i="10"/>
  <c r="AE10" i="10" s="1"/>
  <c r="AE16" i="10"/>
  <c r="AE37" i="17" s="1"/>
  <c r="AE14" i="10"/>
  <c r="AE34" i="17" s="1"/>
  <c r="M11" i="19"/>
  <c r="M7" i="19"/>
  <c r="AE9" i="9"/>
  <c r="AB9" i="6"/>
  <c r="AB10" i="6"/>
  <c r="AB11" i="6"/>
  <c r="Y70" i="13"/>
  <c r="Y11" i="13"/>
  <c r="Y11" i="3"/>
  <c r="Z11" i="3"/>
  <c r="AA11" i="3"/>
  <c r="AB11" i="3"/>
  <c r="AC11" i="3"/>
  <c r="AD11" i="3"/>
  <c r="J56" i="25" l="1"/>
  <c r="K20" i="25" s="1"/>
  <c r="AL26" i="25"/>
  <c r="AL31" i="25" s="1"/>
  <c r="AM14" i="25" s="1"/>
  <c r="AM26" i="25" s="1"/>
  <c r="AM31" i="25" s="1"/>
  <c r="AJ25" i="25"/>
  <c r="AJ30" i="25" s="1"/>
  <c r="AK13" i="25" s="1"/>
  <c r="AE36" i="17"/>
  <c r="AE33" i="17"/>
  <c r="AD82" i="3"/>
  <c r="AD101" i="3"/>
  <c r="AD9" i="3"/>
  <c r="AD10" i="3"/>
  <c r="AD12" i="3"/>
  <c r="AD14" i="3"/>
  <c r="AD16" i="3"/>
  <c r="AD22" i="3"/>
  <c r="AD25" i="3"/>
  <c r="AD8" i="2"/>
  <c r="AD9" i="2"/>
  <c r="AD10" i="2"/>
  <c r="AD11" i="2"/>
  <c r="AD12" i="2"/>
  <c r="AD14" i="2"/>
  <c r="AD21" i="2"/>
  <c r="AD23" i="2"/>
  <c r="AD28" i="2"/>
  <c r="AE28" i="2"/>
  <c r="AE23" i="2"/>
  <c r="AE21" i="2"/>
  <c r="AE14" i="2"/>
  <c r="AE12" i="2"/>
  <c r="AE11" i="2"/>
  <c r="AE10" i="2"/>
  <c r="AE9" i="2"/>
  <c r="AE8" i="2"/>
  <c r="AD23" i="3"/>
  <c r="C18" i="18"/>
  <c r="D25" i="18"/>
  <c r="E25" i="18"/>
  <c r="C16" i="17"/>
  <c r="D16" i="17"/>
  <c r="E16" i="17"/>
  <c r="C31" i="17"/>
  <c r="C39" i="17"/>
  <c r="D39" i="17"/>
  <c r="E39" i="17"/>
  <c r="C10" i="16"/>
  <c r="K16" i="16"/>
  <c r="L16" i="16"/>
  <c r="M16" i="16"/>
  <c r="N16" i="16"/>
  <c r="O16" i="16"/>
  <c r="P16" i="16"/>
  <c r="Q16" i="16"/>
  <c r="R16" i="16"/>
  <c r="S16" i="16"/>
  <c r="C24" i="16"/>
  <c r="C8" i="16" s="1"/>
  <c r="D24" i="16"/>
  <c r="D8" i="16" s="1"/>
  <c r="E24" i="16"/>
  <c r="E8" i="16" s="1"/>
  <c r="F24" i="16"/>
  <c r="F8" i="16" s="1"/>
  <c r="G24" i="16"/>
  <c r="G8" i="16" s="1"/>
  <c r="H24" i="16"/>
  <c r="H8" i="16" s="1"/>
  <c r="I24" i="16"/>
  <c r="I8" i="16" s="1"/>
  <c r="J24" i="16"/>
  <c r="J8" i="16" s="1"/>
  <c r="K24" i="16"/>
  <c r="K8" i="16" s="1"/>
  <c r="M24" i="16"/>
  <c r="M8" i="16" s="1"/>
  <c r="N24" i="16"/>
  <c r="N8" i="16" s="1"/>
  <c r="O24" i="16"/>
  <c r="O8" i="16" s="1"/>
  <c r="P24" i="16"/>
  <c r="P8" i="16" s="1"/>
  <c r="Q24" i="16"/>
  <c r="Q8" i="16" s="1"/>
  <c r="R24" i="16"/>
  <c r="R8" i="16" s="1"/>
  <c r="S24" i="16"/>
  <c r="S8" i="16" s="1"/>
  <c r="C25" i="16"/>
  <c r="C9" i="16" s="1"/>
  <c r="D25" i="16"/>
  <c r="D9" i="16" s="1"/>
  <c r="E25" i="16"/>
  <c r="E9" i="16" s="1"/>
  <c r="F25" i="16"/>
  <c r="F9" i="16" s="1"/>
  <c r="G25" i="16"/>
  <c r="G9" i="16" s="1"/>
  <c r="H25" i="16"/>
  <c r="H9" i="16" s="1"/>
  <c r="I25" i="16"/>
  <c r="I9" i="16" s="1"/>
  <c r="J25" i="16"/>
  <c r="J9" i="16" s="1"/>
  <c r="K25" i="16"/>
  <c r="K9" i="16" s="1"/>
  <c r="L25" i="16"/>
  <c r="L9" i="16" s="1"/>
  <c r="M25" i="16"/>
  <c r="M9" i="16" s="1"/>
  <c r="N25" i="16"/>
  <c r="N9" i="16" s="1"/>
  <c r="O25" i="16"/>
  <c r="O9" i="16" s="1"/>
  <c r="P25" i="16"/>
  <c r="P9" i="16" s="1"/>
  <c r="Q25" i="16"/>
  <c r="Q9" i="16" s="1"/>
  <c r="R25" i="16"/>
  <c r="R9" i="16" s="1"/>
  <c r="S25" i="16"/>
  <c r="S9" i="16" s="1"/>
  <c r="C26" i="16"/>
  <c r="G26" i="16"/>
  <c r="K26" i="16"/>
  <c r="C28" i="16"/>
  <c r="C9" i="8"/>
  <c r="C9" i="17"/>
  <c r="D9" i="8"/>
  <c r="D9" i="17"/>
  <c r="E9" i="8"/>
  <c r="E9" i="17"/>
  <c r="F9" i="8"/>
  <c r="F9" i="17"/>
  <c r="G9" i="8"/>
  <c r="G9" i="17"/>
  <c r="H9" i="8"/>
  <c r="H9" i="17"/>
  <c r="I9" i="8"/>
  <c r="I9" i="17"/>
  <c r="J9" i="8"/>
  <c r="J9" i="17"/>
  <c r="K9" i="8"/>
  <c r="K9" i="17"/>
  <c r="L9" i="8"/>
  <c r="L9" i="17"/>
  <c r="M9" i="8"/>
  <c r="M9" i="17"/>
  <c r="N9" i="8"/>
  <c r="N9" i="17"/>
  <c r="O9" i="8"/>
  <c r="O9" i="17"/>
  <c r="P9" i="8"/>
  <c r="P9" i="17"/>
  <c r="Q9" i="8"/>
  <c r="Q9" i="17"/>
  <c r="R9" i="8"/>
  <c r="R9" i="17"/>
  <c r="S9" i="8"/>
  <c r="S9" i="17"/>
  <c r="T9" i="8"/>
  <c r="T9" i="17"/>
  <c r="U9" i="8"/>
  <c r="U9" i="17"/>
  <c r="V9" i="8"/>
  <c r="V9" i="17"/>
  <c r="W9" i="8"/>
  <c r="W9" i="17"/>
  <c r="E24" i="18" s="1"/>
  <c r="X9" i="8"/>
  <c r="X9" i="17" s="1"/>
  <c r="D24" i="18" s="1"/>
  <c r="Y9" i="8"/>
  <c r="Y9" i="17" s="1"/>
  <c r="Z9" i="8"/>
  <c r="Z9" i="17" s="1"/>
  <c r="AA9" i="8"/>
  <c r="AA9" i="17"/>
  <c r="AB9" i="8"/>
  <c r="AB9" i="17"/>
  <c r="AC9" i="8"/>
  <c r="AC9" i="17"/>
  <c r="AD9" i="8"/>
  <c r="AD9" i="17"/>
  <c r="C15" i="8"/>
  <c r="C15" i="17"/>
  <c r="D15" i="8"/>
  <c r="D15" i="17"/>
  <c r="E15" i="8"/>
  <c r="E15" i="17"/>
  <c r="T15" i="8"/>
  <c r="T15" i="17"/>
  <c r="U15" i="8"/>
  <c r="U15" i="17"/>
  <c r="V15" i="8"/>
  <c r="V15" i="17"/>
  <c r="W15" i="8"/>
  <c r="W15" i="17"/>
  <c r="X15" i="8"/>
  <c r="X15" i="17" s="1"/>
  <c r="Y15" i="8"/>
  <c r="Y15" i="17" s="1"/>
  <c r="Z15" i="8"/>
  <c r="Z15" i="17" s="1"/>
  <c r="AA15" i="8"/>
  <c r="AA15" i="17" s="1"/>
  <c r="E30" i="18" s="1"/>
  <c r="AB15" i="8"/>
  <c r="AB15" i="17" s="1"/>
  <c r="D30" i="18" s="1"/>
  <c r="AC15" i="8"/>
  <c r="AC15" i="17" s="1"/>
  <c r="AD15" i="8"/>
  <c r="AD15" i="17" s="1"/>
  <c r="C30" i="8"/>
  <c r="C8" i="8" s="1"/>
  <c r="C8" i="17" s="1"/>
  <c r="D30" i="8"/>
  <c r="D8" i="8" s="1"/>
  <c r="D8" i="17" s="1"/>
  <c r="E30" i="8"/>
  <c r="E8" i="8" s="1"/>
  <c r="E8" i="17" s="1"/>
  <c r="F30" i="8"/>
  <c r="F8" i="8" s="1"/>
  <c r="F8" i="17" s="1"/>
  <c r="G30" i="8"/>
  <c r="G8" i="8" s="1"/>
  <c r="G8" i="17" s="1"/>
  <c r="H30" i="8"/>
  <c r="H8" i="8" s="1"/>
  <c r="H8" i="17" s="1"/>
  <c r="I30" i="8"/>
  <c r="I8" i="8" s="1"/>
  <c r="I8" i="17" s="1"/>
  <c r="J30" i="8"/>
  <c r="J8" i="8" s="1"/>
  <c r="J8" i="17" s="1"/>
  <c r="K30" i="8"/>
  <c r="K8" i="8" s="1"/>
  <c r="K8" i="17" s="1"/>
  <c r="L30" i="8"/>
  <c r="L8" i="8" s="1"/>
  <c r="L8" i="17" s="1"/>
  <c r="M30" i="8"/>
  <c r="M8" i="8" s="1"/>
  <c r="M8" i="17" s="1"/>
  <c r="N30" i="8"/>
  <c r="N8" i="8" s="1"/>
  <c r="N8" i="17" s="1"/>
  <c r="O30" i="8"/>
  <c r="O8" i="8" s="1"/>
  <c r="O8" i="17" s="1"/>
  <c r="P30" i="8"/>
  <c r="P8" i="8" s="1"/>
  <c r="P8" i="17" s="1"/>
  <c r="Q30" i="8"/>
  <c r="Q8" i="8" s="1"/>
  <c r="R30" i="8"/>
  <c r="R8" i="8" s="1"/>
  <c r="R8" i="17" s="1"/>
  <c r="S30" i="8"/>
  <c r="S8" i="8" s="1"/>
  <c r="S8" i="17" s="1"/>
  <c r="T30" i="8"/>
  <c r="T8" i="8" s="1"/>
  <c r="T8" i="17" s="1"/>
  <c r="U30" i="8"/>
  <c r="U8" i="8" s="1"/>
  <c r="U8" i="17" s="1"/>
  <c r="V30" i="8"/>
  <c r="V8" i="8" s="1"/>
  <c r="V8" i="17" s="1"/>
  <c r="W30" i="8"/>
  <c r="W8" i="8" s="1"/>
  <c r="W8" i="17" s="1"/>
  <c r="X30" i="8"/>
  <c r="X8" i="8" s="1"/>
  <c r="X8" i="17" s="1"/>
  <c r="Y30" i="8"/>
  <c r="Y8" i="8" s="1"/>
  <c r="Y8" i="17" s="1"/>
  <c r="Z30" i="8"/>
  <c r="Z8" i="8" s="1"/>
  <c r="Z8" i="17" s="1"/>
  <c r="AA30" i="8"/>
  <c r="AA8" i="8" s="1"/>
  <c r="AB30" i="8"/>
  <c r="AB8" i="8" s="1"/>
  <c r="AC30" i="8"/>
  <c r="AC8" i="8" s="1"/>
  <c r="AD30" i="8"/>
  <c r="AD8" i="8" s="1"/>
  <c r="C32" i="8"/>
  <c r="C10" i="8" s="1"/>
  <c r="C11" i="17" s="1"/>
  <c r="D32" i="8"/>
  <c r="D10" i="8" s="1"/>
  <c r="D11" i="17" s="1"/>
  <c r="E32" i="8"/>
  <c r="F32" i="8"/>
  <c r="F10" i="8" s="1"/>
  <c r="F11" i="17" s="1"/>
  <c r="C34" i="8"/>
  <c r="C11" i="8" s="1"/>
  <c r="C12" i="17" s="1"/>
  <c r="C35" i="8"/>
  <c r="C14" i="8" s="1"/>
  <c r="C14" i="17" s="1"/>
  <c r="D35" i="8"/>
  <c r="D14" i="8" s="1"/>
  <c r="D14" i="17" s="1"/>
  <c r="E35" i="8"/>
  <c r="E14" i="8"/>
  <c r="E14" i="17" s="1"/>
  <c r="F35" i="8"/>
  <c r="F14" i="8" s="1"/>
  <c r="F14" i="17"/>
  <c r="G35" i="8"/>
  <c r="G14" i="8"/>
  <c r="G14" i="17" s="1"/>
  <c r="H35" i="8"/>
  <c r="H14" i="8" s="1"/>
  <c r="H14" i="17"/>
  <c r="I35" i="8"/>
  <c r="I14" i="8"/>
  <c r="I14" i="17" s="1"/>
  <c r="J35" i="8"/>
  <c r="J14" i="8" s="1"/>
  <c r="J14" i="17"/>
  <c r="K35" i="8"/>
  <c r="K14" i="8"/>
  <c r="K14" i="17" s="1"/>
  <c r="L35" i="8"/>
  <c r="L14" i="8" s="1"/>
  <c r="L14" i="17"/>
  <c r="M35" i="8"/>
  <c r="M14" i="8"/>
  <c r="M14" i="17" s="1"/>
  <c r="N35" i="8"/>
  <c r="N14" i="8" s="1"/>
  <c r="N14" i="17"/>
  <c r="O35" i="8"/>
  <c r="O14" i="8"/>
  <c r="O14" i="17" s="1"/>
  <c r="P35" i="8"/>
  <c r="P14" i="8" s="1"/>
  <c r="P14" i="17"/>
  <c r="Q35" i="8"/>
  <c r="Q14" i="8"/>
  <c r="Q14" i="17" s="1"/>
  <c r="R35" i="8"/>
  <c r="R14" i="8" s="1"/>
  <c r="R14" i="17"/>
  <c r="S35" i="8"/>
  <c r="S14" i="8"/>
  <c r="S14" i="17" s="1"/>
  <c r="T35" i="8"/>
  <c r="T14" i="8" s="1"/>
  <c r="T14" i="17"/>
  <c r="U35" i="8"/>
  <c r="U14" i="8"/>
  <c r="U14" i="17" s="1"/>
  <c r="V35" i="8"/>
  <c r="V14" i="8" s="1"/>
  <c r="V14" i="17"/>
  <c r="W35" i="8"/>
  <c r="W14" i="8"/>
  <c r="W14" i="17" s="1"/>
  <c r="X35" i="8"/>
  <c r="X14" i="8"/>
  <c r="X14" i="17" s="1"/>
  <c r="Y35" i="8"/>
  <c r="Y14" i="8"/>
  <c r="Y14" i="17" s="1"/>
  <c r="Z35" i="8"/>
  <c r="Z14" i="8" s="1"/>
  <c r="Z14" i="17" s="1"/>
  <c r="AA35" i="8"/>
  <c r="AA14" i="8" s="1"/>
  <c r="AA14" i="17" s="1"/>
  <c r="E29" i="18" s="1"/>
  <c r="AB35" i="8"/>
  <c r="AB14" i="8" s="1"/>
  <c r="AB14" i="17" s="1"/>
  <c r="D29" i="18" s="1"/>
  <c r="AC35" i="8"/>
  <c r="AC14" i="8" s="1"/>
  <c r="AC14" i="17" s="1"/>
  <c r="AD35" i="8"/>
  <c r="AD14" i="8" s="1"/>
  <c r="AD14" i="17" s="1"/>
  <c r="Q18" i="15"/>
  <c r="C21" i="15"/>
  <c r="C10" i="15" s="1"/>
  <c r="D21" i="15"/>
  <c r="D10" i="15" s="1"/>
  <c r="E21" i="15"/>
  <c r="E10" i="15" s="1"/>
  <c r="F21" i="15"/>
  <c r="F10" i="15" s="1"/>
  <c r="G21" i="15"/>
  <c r="G10" i="15" s="1"/>
  <c r="H21" i="15"/>
  <c r="H10" i="15" s="1"/>
  <c r="I21" i="15"/>
  <c r="I10" i="15" s="1"/>
  <c r="J21" i="15"/>
  <c r="J10" i="15" s="1"/>
  <c r="K21" i="15"/>
  <c r="K10" i="15" s="1"/>
  <c r="L21" i="15"/>
  <c r="L10" i="15" s="1"/>
  <c r="M21" i="15"/>
  <c r="M10" i="15" s="1"/>
  <c r="N21" i="15"/>
  <c r="N10" i="15" s="1"/>
  <c r="O21" i="15"/>
  <c r="O10" i="15" s="1"/>
  <c r="P21" i="15"/>
  <c r="P10" i="15" s="1"/>
  <c r="Q21" i="15"/>
  <c r="Q10" i="15" s="1"/>
  <c r="R21" i="15"/>
  <c r="R10" i="15" s="1"/>
  <c r="C22" i="15"/>
  <c r="D22" i="15"/>
  <c r="E22" i="15"/>
  <c r="F22" i="15"/>
  <c r="G22" i="15"/>
  <c r="H22" i="15"/>
  <c r="I22" i="15"/>
  <c r="J22" i="15"/>
  <c r="K22" i="15"/>
  <c r="L22" i="15"/>
  <c r="M22" i="15"/>
  <c r="N22" i="15"/>
  <c r="O22" i="15"/>
  <c r="P22" i="15"/>
  <c r="Q22" i="15"/>
  <c r="R22" i="15"/>
  <c r="C25" i="15"/>
  <c r="C13" i="15" s="1"/>
  <c r="D25" i="15"/>
  <c r="D13" i="15" s="1"/>
  <c r="E25" i="15"/>
  <c r="E13" i="15" s="1"/>
  <c r="F25" i="15"/>
  <c r="F13" i="15" s="1"/>
  <c r="G25" i="15"/>
  <c r="G13" i="15" s="1"/>
  <c r="H25" i="15"/>
  <c r="H13" i="15" s="1"/>
  <c r="I25" i="15"/>
  <c r="I13" i="15" s="1"/>
  <c r="J25" i="15"/>
  <c r="J13" i="15" s="1"/>
  <c r="K25" i="15"/>
  <c r="K13" i="15" s="1"/>
  <c r="L25" i="15"/>
  <c r="L13" i="15" s="1"/>
  <c r="M25" i="15"/>
  <c r="M13" i="15" s="1"/>
  <c r="N25" i="15"/>
  <c r="N13" i="15" s="1"/>
  <c r="O25" i="15"/>
  <c r="O13" i="15" s="1"/>
  <c r="P25" i="15"/>
  <c r="P13" i="15" s="1"/>
  <c r="Q25" i="15"/>
  <c r="Q13" i="15" s="1"/>
  <c r="R25" i="15"/>
  <c r="R13" i="15" s="1"/>
  <c r="S25" i="15"/>
  <c r="S13" i="15" s="1"/>
  <c r="T25" i="15"/>
  <c r="T13" i="15" s="1"/>
  <c r="U25" i="15"/>
  <c r="U13" i="15" s="1"/>
  <c r="V25" i="15"/>
  <c r="V13" i="15" s="1"/>
  <c r="W25" i="15"/>
  <c r="W13" i="15" s="1"/>
  <c r="X25" i="15"/>
  <c r="X13" i="15" s="1"/>
  <c r="U26" i="15"/>
  <c r="U14" i="15" s="1"/>
  <c r="V26" i="15"/>
  <c r="V14" i="15" s="1"/>
  <c r="W26" i="15"/>
  <c r="W14" i="15" s="1"/>
  <c r="X26" i="15"/>
  <c r="X14" i="15" s="1"/>
  <c r="C14" i="10"/>
  <c r="C34" i="17" s="1"/>
  <c r="D14" i="10"/>
  <c r="D34" i="17" s="1"/>
  <c r="E14" i="10"/>
  <c r="E34" i="17" s="1"/>
  <c r="F14" i="10"/>
  <c r="F34" i="17" s="1"/>
  <c r="G14" i="10"/>
  <c r="G34" i="17" s="1"/>
  <c r="H14" i="10"/>
  <c r="H34" i="17" s="1"/>
  <c r="I14" i="10"/>
  <c r="I34" i="17" s="1"/>
  <c r="J14" i="10"/>
  <c r="J34" i="17" s="1"/>
  <c r="K14" i="10"/>
  <c r="K34" i="17" s="1"/>
  <c r="L14" i="10"/>
  <c r="L34" i="17" s="1"/>
  <c r="M14" i="10"/>
  <c r="M34" i="17" s="1"/>
  <c r="N14" i="10"/>
  <c r="N34" i="17" s="1"/>
  <c r="O14" i="10"/>
  <c r="O34" i="17" s="1"/>
  <c r="P14" i="10"/>
  <c r="P34" i="17" s="1"/>
  <c r="Q14" i="10"/>
  <c r="Q34" i="17" s="1"/>
  <c r="R14" i="10"/>
  <c r="R34" i="17" s="1"/>
  <c r="S14" i="10"/>
  <c r="S34" i="17" s="1"/>
  <c r="T14" i="10"/>
  <c r="T34" i="17" s="1"/>
  <c r="U14" i="10"/>
  <c r="U34" i="17" s="1"/>
  <c r="V14" i="10"/>
  <c r="V34" i="17" s="1"/>
  <c r="W14" i="10"/>
  <c r="W34" i="17" s="1"/>
  <c r="X14" i="10"/>
  <c r="X34" i="17" s="1"/>
  <c r="Y14" i="10"/>
  <c r="Y34" i="17"/>
  <c r="Z14" i="10"/>
  <c r="Z34" i="17"/>
  <c r="AA14" i="10"/>
  <c r="AA34" i="17"/>
  <c r="E11" i="18" s="1"/>
  <c r="AB14" i="10"/>
  <c r="AB34" i="17"/>
  <c r="D11" i="18" s="1"/>
  <c r="AC14" i="10"/>
  <c r="AC34" i="17"/>
  <c r="AD14" i="10"/>
  <c r="AD34" i="17" s="1"/>
  <c r="C16" i="10"/>
  <c r="C37" i="17" s="1"/>
  <c r="D16" i="10"/>
  <c r="D37" i="17" s="1"/>
  <c r="E16" i="10"/>
  <c r="E37" i="17" s="1"/>
  <c r="T16" i="10"/>
  <c r="T37" i="17" s="1"/>
  <c r="U16" i="10"/>
  <c r="U37" i="17" s="1"/>
  <c r="V16" i="10"/>
  <c r="V37" i="17" s="1"/>
  <c r="W16" i="10"/>
  <c r="W37" i="17" s="1"/>
  <c r="X16" i="10"/>
  <c r="X37" i="17" s="1"/>
  <c r="Y16" i="10"/>
  <c r="Y37" i="17" s="1"/>
  <c r="Z16" i="10"/>
  <c r="Z37" i="17" s="1"/>
  <c r="AA16" i="10"/>
  <c r="AA37" i="17" s="1"/>
  <c r="E14" i="18" s="1"/>
  <c r="AB16" i="10"/>
  <c r="AB37" i="17" s="1"/>
  <c r="D14" i="18" s="1"/>
  <c r="AC16" i="10"/>
  <c r="AC37" i="17" s="1"/>
  <c r="AD16" i="10"/>
  <c r="AD37" i="17" s="1"/>
  <c r="C25" i="10"/>
  <c r="C10" i="10" s="1"/>
  <c r="C30" i="17" s="1"/>
  <c r="D25" i="10"/>
  <c r="D10" i="10" s="1"/>
  <c r="D30" i="17" s="1"/>
  <c r="E25" i="10"/>
  <c r="E10" i="10" s="1"/>
  <c r="E30" i="17" s="1"/>
  <c r="F25" i="10"/>
  <c r="F10" i="10" s="1"/>
  <c r="F30" i="17" s="1"/>
  <c r="G25" i="10"/>
  <c r="G10" i="10" s="1"/>
  <c r="G30" i="17" s="1"/>
  <c r="H25" i="10"/>
  <c r="H10" i="10" s="1"/>
  <c r="H30" i="17" s="1"/>
  <c r="I25" i="10"/>
  <c r="I10" i="10" s="1"/>
  <c r="I30" i="17" s="1"/>
  <c r="J25" i="10"/>
  <c r="J10" i="10" s="1"/>
  <c r="K25" i="10"/>
  <c r="K10" i="10" s="1"/>
  <c r="K30" i="17" s="1"/>
  <c r="L25" i="10"/>
  <c r="L10" i="10" s="1"/>
  <c r="L30" i="17" s="1"/>
  <c r="M25" i="10"/>
  <c r="M10" i="10" s="1"/>
  <c r="N25" i="10"/>
  <c r="N10" i="10" s="1"/>
  <c r="O25" i="10"/>
  <c r="O10" i="10" s="1"/>
  <c r="O30" i="17" s="1"/>
  <c r="P25" i="10"/>
  <c r="P10" i="10" s="1"/>
  <c r="P30" i="17" s="1"/>
  <c r="Q25" i="10"/>
  <c r="Q10" i="10" s="1"/>
  <c r="R25" i="10"/>
  <c r="R10" i="10" s="1"/>
  <c r="U25" i="10"/>
  <c r="U10" i="10" s="1"/>
  <c r="U30" i="17" s="1"/>
  <c r="V25" i="10"/>
  <c r="V10" i="10" s="1"/>
  <c r="V30" i="17" s="1"/>
  <c r="W25" i="10"/>
  <c r="W10" i="10" s="1"/>
  <c r="W30" i="17" s="1"/>
  <c r="X25" i="10"/>
  <c r="X10" i="10" s="1"/>
  <c r="X30" i="17" s="1"/>
  <c r="Y25" i="10"/>
  <c r="Y10" i="10" s="1"/>
  <c r="Z25" i="10"/>
  <c r="Z10" i="10" s="1"/>
  <c r="AA25" i="10"/>
  <c r="AA10" i="10" s="1"/>
  <c r="AB25" i="10"/>
  <c r="AB10" i="10" s="1"/>
  <c r="AC25" i="10"/>
  <c r="AC10" i="10" s="1"/>
  <c r="AD25" i="10"/>
  <c r="AD10" i="10" s="1"/>
  <c r="C26" i="10"/>
  <c r="D26" i="10"/>
  <c r="E26" i="10"/>
  <c r="F26" i="10"/>
  <c r="G26" i="10"/>
  <c r="H26" i="10"/>
  <c r="I26" i="10"/>
  <c r="J26" i="10"/>
  <c r="K26" i="10"/>
  <c r="L26" i="10"/>
  <c r="M26" i="10"/>
  <c r="N26" i="10"/>
  <c r="O26" i="10"/>
  <c r="P26" i="10"/>
  <c r="Q26" i="10"/>
  <c r="R26" i="10"/>
  <c r="S26" i="10"/>
  <c r="T26" i="10"/>
  <c r="U26" i="10"/>
  <c r="V26" i="10"/>
  <c r="W26" i="10"/>
  <c r="Y26" i="10"/>
  <c r="Z26" i="10"/>
  <c r="AA26" i="10"/>
  <c r="AB26" i="10"/>
  <c r="AC26" i="10"/>
  <c r="AD26" i="10"/>
  <c r="C29" i="10"/>
  <c r="C13" i="10" s="1"/>
  <c r="C33" i="17" s="1"/>
  <c r="D29" i="10"/>
  <c r="D13" i="10" s="1"/>
  <c r="D33" i="17" s="1"/>
  <c r="E29" i="10"/>
  <c r="E13" i="10" s="1"/>
  <c r="E33" i="17" s="1"/>
  <c r="F29" i="10"/>
  <c r="F13" i="10" s="1"/>
  <c r="F33" i="17" s="1"/>
  <c r="G29" i="10"/>
  <c r="G13" i="10" s="1"/>
  <c r="G33" i="17" s="1"/>
  <c r="H29" i="10"/>
  <c r="H13" i="10" s="1"/>
  <c r="H33" i="17" s="1"/>
  <c r="I29" i="10"/>
  <c r="I13" i="10" s="1"/>
  <c r="I33" i="17" s="1"/>
  <c r="J29" i="10"/>
  <c r="J13" i="10" s="1"/>
  <c r="J33" i="17" s="1"/>
  <c r="K29" i="10"/>
  <c r="K13" i="10" s="1"/>
  <c r="K33" i="17" s="1"/>
  <c r="L29" i="10"/>
  <c r="L13" i="10" s="1"/>
  <c r="M29" i="10"/>
  <c r="M13" i="10" s="1"/>
  <c r="N29" i="10"/>
  <c r="N13" i="10" s="1"/>
  <c r="O29" i="10"/>
  <c r="O13" i="10"/>
  <c r="P29" i="10"/>
  <c r="P13" i="10" s="1"/>
  <c r="Q29" i="10"/>
  <c r="Q13" i="10" s="1"/>
  <c r="Q33" i="17" s="1"/>
  <c r="R29" i="10"/>
  <c r="R13" i="10" s="1"/>
  <c r="S29" i="10"/>
  <c r="S13" i="10" s="1"/>
  <c r="T29" i="10"/>
  <c r="T13" i="10" s="1"/>
  <c r="U29" i="10"/>
  <c r="U13" i="10" s="1"/>
  <c r="V29" i="10"/>
  <c r="V13" i="10" s="1"/>
  <c r="W29" i="10"/>
  <c r="W13" i="10" s="1"/>
  <c r="X29" i="10"/>
  <c r="X13" i="10" s="1"/>
  <c r="Y29" i="10"/>
  <c r="Y13" i="10" s="1"/>
  <c r="Z29" i="10"/>
  <c r="Z13" i="10" s="1"/>
  <c r="AA29" i="10"/>
  <c r="AA13" i="10" s="1"/>
  <c r="AB29" i="10"/>
  <c r="AB13" i="10" s="1"/>
  <c r="AC29" i="10"/>
  <c r="AC13" i="10" s="1"/>
  <c r="AD29" i="10"/>
  <c r="AD13" i="10" s="1"/>
  <c r="C31" i="10"/>
  <c r="D31" i="10"/>
  <c r="D15" i="10" s="1"/>
  <c r="D36" i="17" s="1"/>
  <c r="AA31" i="10"/>
  <c r="AA15" i="10" s="1"/>
  <c r="AB31" i="10"/>
  <c r="AB15" i="10" s="1"/>
  <c r="AC31" i="10"/>
  <c r="AC15" i="10" s="1"/>
  <c r="AD31" i="10"/>
  <c r="AD15" i="10" s="1"/>
  <c r="C7" i="19"/>
  <c r="D7" i="19"/>
  <c r="E7" i="19"/>
  <c r="F7" i="19"/>
  <c r="G7" i="19"/>
  <c r="H7" i="19"/>
  <c r="I7" i="19"/>
  <c r="J7" i="19"/>
  <c r="K7" i="19"/>
  <c r="L7" i="19"/>
  <c r="C11" i="19"/>
  <c r="C13" i="19" s="1"/>
  <c r="D11" i="19"/>
  <c r="E11" i="19"/>
  <c r="F11" i="19"/>
  <c r="G11" i="19"/>
  <c r="H11" i="19"/>
  <c r="I11" i="19"/>
  <c r="J11" i="19"/>
  <c r="K11" i="19"/>
  <c r="L11" i="19"/>
  <c r="C9" i="9"/>
  <c r="D9" i="9"/>
  <c r="E9" i="9"/>
  <c r="F9" i="9"/>
  <c r="G9" i="9"/>
  <c r="H9" i="9"/>
  <c r="I9" i="9"/>
  <c r="J9" i="9"/>
  <c r="K9" i="9"/>
  <c r="L9" i="9"/>
  <c r="M9" i="9"/>
  <c r="N9" i="9"/>
  <c r="O9" i="9"/>
  <c r="P9" i="9"/>
  <c r="Q9" i="9"/>
  <c r="R9" i="9"/>
  <c r="S9" i="9"/>
  <c r="T9" i="9"/>
  <c r="U9" i="9"/>
  <c r="V9" i="9"/>
  <c r="W9" i="9"/>
  <c r="Y9" i="9"/>
  <c r="Z9" i="9"/>
  <c r="AA9" i="9"/>
  <c r="AB9" i="9"/>
  <c r="AC9" i="9"/>
  <c r="AD9" i="9"/>
  <c r="C10" i="9"/>
  <c r="D10" i="9"/>
  <c r="E10" i="9"/>
  <c r="F10" i="9"/>
  <c r="G10" i="9"/>
  <c r="H10" i="9"/>
  <c r="I10" i="9"/>
  <c r="J10" i="9"/>
  <c r="K10" i="9"/>
  <c r="L10" i="9"/>
  <c r="M10" i="9"/>
  <c r="N10" i="9"/>
  <c r="O10" i="9"/>
  <c r="P10" i="9"/>
  <c r="Q10" i="9"/>
  <c r="R10" i="9"/>
  <c r="S25" i="9"/>
  <c r="U9" i="6"/>
  <c r="V9" i="6"/>
  <c r="W9" i="6"/>
  <c r="X9" i="6"/>
  <c r="Y9" i="6"/>
  <c r="Z9" i="6"/>
  <c r="AA9" i="6"/>
  <c r="C10" i="6"/>
  <c r="D10" i="6"/>
  <c r="E10" i="6"/>
  <c r="F10" i="6"/>
  <c r="G10" i="6"/>
  <c r="H10" i="6"/>
  <c r="I10" i="6"/>
  <c r="J10" i="6"/>
  <c r="K10" i="6"/>
  <c r="L10" i="6"/>
  <c r="M10" i="6"/>
  <c r="N10" i="6"/>
  <c r="O10" i="6"/>
  <c r="P10" i="6"/>
  <c r="Q10" i="6"/>
  <c r="R10" i="6"/>
  <c r="S10" i="6"/>
  <c r="T10" i="6"/>
  <c r="V10" i="6"/>
  <c r="W10" i="6"/>
  <c r="X10" i="6"/>
  <c r="Y10" i="6"/>
  <c r="Z10" i="6"/>
  <c r="AA10" i="6"/>
  <c r="C11" i="6"/>
  <c r="D11" i="6"/>
  <c r="E11" i="6"/>
  <c r="F11" i="6"/>
  <c r="G11" i="6"/>
  <c r="H11" i="6"/>
  <c r="I11" i="6"/>
  <c r="J11" i="6"/>
  <c r="K11" i="6"/>
  <c r="L11" i="6"/>
  <c r="M11" i="6"/>
  <c r="N11" i="6"/>
  <c r="O11" i="6"/>
  <c r="P11" i="6"/>
  <c r="Q11" i="6"/>
  <c r="R11" i="6"/>
  <c r="S11" i="6"/>
  <c r="T11" i="6"/>
  <c r="U11" i="6"/>
  <c r="V11" i="6"/>
  <c r="W11" i="6"/>
  <c r="X11" i="6"/>
  <c r="Y11" i="6"/>
  <c r="Z11" i="6"/>
  <c r="AA11" i="6"/>
  <c r="C16" i="6"/>
  <c r="D16" i="6"/>
  <c r="E16" i="6"/>
  <c r="F16" i="6"/>
  <c r="G16" i="6"/>
  <c r="H16" i="6"/>
  <c r="I16" i="6"/>
  <c r="J16" i="6"/>
  <c r="K16" i="6"/>
  <c r="L16" i="6"/>
  <c r="M16" i="6"/>
  <c r="N16" i="6"/>
  <c r="O16" i="6"/>
  <c r="P16" i="6"/>
  <c r="Q16" i="6"/>
  <c r="R16" i="6"/>
  <c r="S16" i="6"/>
  <c r="T16" i="6"/>
  <c r="U16" i="6"/>
  <c r="V16" i="6"/>
  <c r="F9" i="5"/>
  <c r="AH3" i="14"/>
  <c r="L8" i="14"/>
  <c r="M8" i="14"/>
  <c r="N8" i="14"/>
  <c r="O8" i="14"/>
  <c r="P8" i="14"/>
  <c r="Q8" i="14"/>
  <c r="L9" i="14"/>
  <c r="M9" i="14"/>
  <c r="N9" i="14"/>
  <c r="O9" i="14"/>
  <c r="P9" i="14"/>
  <c r="Q9" i="14"/>
  <c r="M10" i="14"/>
  <c r="N10" i="14"/>
  <c r="O10" i="14"/>
  <c r="P10" i="14"/>
  <c r="Q10" i="14"/>
  <c r="O11" i="14"/>
  <c r="P11" i="14"/>
  <c r="Q11" i="14"/>
  <c r="P12" i="14"/>
  <c r="Q12" i="14"/>
  <c r="AH13" i="14"/>
  <c r="AG16" i="14"/>
  <c r="L21" i="14"/>
  <c r="M21" i="14"/>
  <c r="N21" i="14"/>
  <c r="O21" i="14"/>
  <c r="M22" i="14"/>
  <c r="N22" i="14"/>
  <c r="O22" i="14"/>
  <c r="O23" i="14"/>
  <c r="Y32" i="14"/>
  <c r="AH40" i="14"/>
  <c r="AO3" i="4"/>
  <c r="L8" i="4"/>
  <c r="L20" i="4" s="1"/>
  <c r="M8" i="4"/>
  <c r="M20" i="4" s="1"/>
  <c r="M29" i="4" s="1"/>
  <c r="M31" i="4" s="1"/>
  <c r="N8" i="4"/>
  <c r="N20" i="4" s="1"/>
  <c r="N35" i="4" s="1"/>
  <c r="O8" i="4"/>
  <c r="O20" i="4" s="1"/>
  <c r="O35" i="4" s="1"/>
  <c r="M9" i="4"/>
  <c r="N9" i="4"/>
  <c r="O9" i="4"/>
  <c r="N10" i="4"/>
  <c r="O10" i="4"/>
  <c r="O11" i="4"/>
  <c r="AO13" i="4"/>
  <c r="AN16" i="4"/>
  <c r="AO18" i="4"/>
  <c r="P20" i="4"/>
  <c r="P35" i="4" s="1"/>
  <c r="M21" i="4"/>
  <c r="N21" i="4"/>
  <c r="O21" i="4"/>
  <c r="P21" i="4"/>
  <c r="N22" i="4"/>
  <c r="O22" i="4"/>
  <c r="O37" i="4" s="1"/>
  <c r="O48" i="4" s="1"/>
  <c r="T77" i="3" s="1"/>
  <c r="P22" i="4"/>
  <c r="P37" i="4" s="1"/>
  <c r="P48" i="4" s="1"/>
  <c r="U77" i="3" s="1"/>
  <c r="O23" i="4"/>
  <c r="P23" i="4"/>
  <c r="P24" i="4"/>
  <c r="Q26" i="4"/>
  <c r="R26" i="4"/>
  <c r="S26" i="4"/>
  <c r="T26" i="4"/>
  <c r="AO26" i="4"/>
  <c r="AO33" i="4"/>
  <c r="Q35" i="4"/>
  <c r="R35" i="4"/>
  <c r="S35" i="4"/>
  <c r="T35" i="4"/>
  <c r="M36" i="4"/>
  <c r="N36" i="4"/>
  <c r="O36" i="4"/>
  <c r="P36" i="4"/>
  <c r="Q36" i="4"/>
  <c r="R36" i="4"/>
  <c r="S36" i="4"/>
  <c r="T36" i="4"/>
  <c r="N37" i="4"/>
  <c r="N48" i="4" s="1"/>
  <c r="S77" i="3" s="1"/>
  <c r="Q37" i="4"/>
  <c r="R37" i="4"/>
  <c r="S37" i="4"/>
  <c r="T37" i="4"/>
  <c r="O38" i="4"/>
  <c r="P38" i="4"/>
  <c r="Q38" i="4"/>
  <c r="R38" i="4"/>
  <c r="S38" i="4"/>
  <c r="T38" i="4"/>
  <c r="P39" i="4"/>
  <c r="P49" i="4" s="1"/>
  <c r="U78" i="3" s="1"/>
  <c r="Q39" i="4"/>
  <c r="R39" i="4"/>
  <c r="S39" i="4"/>
  <c r="T39" i="4"/>
  <c r="Q40" i="4"/>
  <c r="R40" i="4"/>
  <c r="S40" i="4"/>
  <c r="T40" i="4"/>
  <c r="Q41" i="4"/>
  <c r="R41" i="4"/>
  <c r="S41" i="4"/>
  <c r="T41" i="4"/>
  <c r="R42" i="4"/>
  <c r="S42" i="4"/>
  <c r="T42" i="4"/>
  <c r="E43" i="4"/>
  <c r="T43" i="4"/>
  <c r="E44" i="4"/>
  <c r="F44" i="4"/>
  <c r="AO45" i="4"/>
  <c r="AN51" i="4"/>
  <c r="R59" i="4"/>
  <c r="S59" i="4"/>
  <c r="T59" i="4"/>
  <c r="T60" i="4"/>
  <c r="W64" i="4"/>
  <c r="AN64" i="4" s="1"/>
  <c r="C9" i="13"/>
  <c r="D9" i="13"/>
  <c r="E9" i="13"/>
  <c r="F9" i="13"/>
  <c r="G9" i="13"/>
  <c r="H9" i="13"/>
  <c r="I9" i="13"/>
  <c r="J9" i="13"/>
  <c r="K9" i="13"/>
  <c r="M9" i="13"/>
  <c r="N9" i="13"/>
  <c r="O9" i="13"/>
  <c r="P9" i="13"/>
  <c r="Q9" i="13"/>
  <c r="R9" i="13"/>
  <c r="S9" i="13"/>
  <c r="C10" i="13"/>
  <c r="D10" i="13"/>
  <c r="E10" i="13"/>
  <c r="F10" i="13"/>
  <c r="G10" i="13"/>
  <c r="H10" i="13"/>
  <c r="I10" i="13"/>
  <c r="J10" i="13"/>
  <c r="K10" i="13"/>
  <c r="L10" i="13"/>
  <c r="M10" i="13"/>
  <c r="N10" i="13"/>
  <c r="O10" i="13"/>
  <c r="P10" i="13"/>
  <c r="Q10" i="13"/>
  <c r="R10" i="13"/>
  <c r="C11" i="13"/>
  <c r="D11" i="13"/>
  <c r="E11" i="13"/>
  <c r="F11" i="13"/>
  <c r="G11" i="13"/>
  <c r="H11" i="13"/>
  <c r="I11" i="13"/>
  <c r="J11" i="13"/>
  <c r="K11" i="13"/>
  <c r="L11" i="13"/>
  <c r="M11" i="13"/>
  <c r="N11" i="13"/>
  <c r="O11" i="13"/>
  <c r="P11" i="13"/>
  <c r="Q11" i="13"/>
  <c r="R11" i="13"/>
  <c r="S11" i="13"/>
  <c r="T11" i="13"/>
  <c r="U11" i="13"/>
  <c r="V11" i="13"/>
  <c r="W11" i="13"/>
  <c r="X11" i="13"/>
  <c r="C13" i="13"/>
  <c r="D13" i="13"/>
  <c r="E13" i="13"/>
  <c r="F13" i="13"/>
  <c r="G13" i="13"/>
  <c r="H13" i="13"/>
  <c r="I13" i="13"/>
  <c r="J13" i="13"/>
  <c r="K13" i="13"/>
  <c r="L13" i="13"/>
  <c r="M13" i="13"/>
  <c r="N13" i="13"/>
  <c r="O13" i="13"/>
  <c r="P13" i="13"/>
  <c r="Q13" i="13"/>
  <c r="R13" i="13"/>
  <c r="C15" i="13"/>
  <c r="D15" i="13"/>
  <c r="E15" i="13"/>
  <c r="F15" i="13"/>
  <c r="G15" i="13"/>
  <c r="H15" i="13"/>
  <c r="I15" i="13"/>
  <c r="J15" i="13"/>
  <c r="L15" i="13"/>
  <c r="M15" i="13"/>
  <c r="N15" i="13"/>
  <c r="O15" i="13"/>
  <c r="P15" i="13"/>
  <c r="Q15" i="13"/>
  <c r="R15" i="13"/>
  <c r="Q18" i="13"/>
  <c r="C46" i="13"/>
  <c r="D46" i="13"/>
  <c r="D26" i="15" s="1"/>
  <c r="D14" i="15" s="1"/>
  <c r="E46" i="13"/>
  <c r="E26" i="15" s="1"/>
  <c r="E14" i="15" s="1"/>
  <c r="F46" i="13"/>
  <c r="F70" i="13" s="1"/>
  <c r="G46" i="13"/>
  <c r="G26" i="15" s="1"/>
  <c r="G14" i="15" s="1"/>
  <c r="H46" i="13"/>
  <c r="H26" i="15" s="1"/>
  <c r="H14" i="15" s="1"/>
  <c r="I46" i="13"/>
  <c r="I26" i="15" s="1"/>
  <c r="I14" i="15" s="1"/>
  <c r="J46" i="13"/>
  <c r="J26" i="15" s="1"/>
  <c r="J14" i="15" s="1"/>
  <c r="K46" i="13"/>
  <c r="K26" i="15" s="1"/>
  <c r="K14" i="15" s="1"/>
  <c r="L46" i="13"/>
  <c r="L26" i="15" s="1"/>
  <c r="L14" i="15" s="1"/>
  <c r="M46" i="13"/>
  <c r="M26" i="15" s="1"/>
  <c r="M14" i="15" s="1"/>
  <c r="N46" i="13"/>
  <c r="N26" i="15" s="1"/>
  <c r="N14" i="15" s="1"/>
  <c r="O46" i="13"/>
  <c r="O26" i="15" s="1"/>
  <c r="O14" i="15" s="1"/>
  <c r="P46" i="13"/>
  <c r="P70" i="13" s="1"/>
  <c r="Q46" i="13"/>
  <c r="R46" i="13"/>
  <c r="R70" i="13" s="1"/>
  <c r="S46" i="13"/>
  <c r="S26" i="15" s="1"/>
  <c r="S14" i="15" s="1"/>
  <c r="T46" i="13"/>
  <c r="T70" i="13" s="1"/>
  <c r="H49" i="13"/>
  <c r="H51" i="13" s="1"/>
  <c r="I49" i="13"/>
  <c r="I51" i="13" s="1"/>
  <c r="J49" i="13"/>
  <c r="J51" i="13" s="1"/>
  <c r="J55" i="13" s="1"/>
  <c r="K49" i="13"/>
  <c r="K51" i="13" s="1"/>
  <c r="K55" i="13" s="1"/>
  <c r="L49" i="13"/>
  <c r="L51" i="13" s="1"/>
  <c r="L55" i="13" s="1"/>
  <c r="M49" i="13"/>
  <c r="M51" i="13" s="1"/>
  <c r="M55" i="13" s="1"/>
  <c r="N49" i="13"/>
  <c r="O49" i="13"/>
  <c r="O51" i="13" s="1"/>
  <c r="O55" i="13" s="1"/>
  <c r="P49" i="13"/>
  <c r="P51" i="13" s="1"/>
  <c r="P55" i="13" s="1"/>
  <c r="C51" i="13"/>
  <c r="D51" i="13"/>
  <c r="E51" i="13"/>
  <c r="E55" i="13" s="1"/>
  <c r="F51" i="13"/>
  <c r="F55" i="13" s="1"/>
  <c r="G51" i="13"/>
  <c r="N51" i="13"/>
  <c r="N55" i="13" s="1"/>
  <c r="Q51" i="13"/>
  <c r="R51" i="13"/>
  <c r="R55" i="13" s="1"/>
  <c r="S51" i="13"/>
  <c r="T51" i="13"/>
  <c r="T55" i="13" s="1"/>
  <c r="U51" i="13"/>
  <c r="U55" i="13" s="1"/>
  <c r="V51" i="13"/>
  <c r="V55" i="13" s="1"/>
  <c r="W51" i="13"/>
  <c r="X51" i="13"/>
  <c r="X55" i="13" s="1"/>
  <c r="Y51" i="13"/>
  <c r="Y55" i="13" s="1"/>
  <c r="Z51" i="13"/>
  <c r="AA51" i="13"/>
  <c r="AA55" i="13" s="1"/>
  <c r="AB51" i="13"/>
  <c r="AB55" i="13" s="1"/>
  <c r="AC51" i="13"/>
  <c r="AC55" i="13" s="1"/>
  <c r="C55" i="13"/>
  <c r="G55" i="13"/>
  <c r="Q55" i="13"/>
  <c r="S55" i="13"/>
  <c r="W55" i="13"/>
  <c r="AD55" i="13"/>
  <c r="C67" i="13"/>
  <c r="U70" i="13"/>
  <c r="V70" i="13"/>
  <c r="W70" i="13"/>
  <c r="X70" i="13"/>
  <c r="C9" i="3"/>
  <c r="D9" i="3"/>
  <c r="E9" i="3"/>
  <c r="F9" i="3"/>
  <c r="G9" i="3"/>
  <c r="H9" i="3"/>
  <c r="I9" i="3"/>
  <c r="J9" i="3"/>
  <c r="K9" i="3"/>
  <c r="L9" i="3"/>
  <c r="M9" i="3"/>
  <c r="N9" i="3"/>
  <c r="O9" i="3"/>
  <c r="P9" i="3"/>
  <c r="Q9" i="3"/>
  <c r="R9" i="3"/>
  <c r="S9" i="3"/>
  <c r="T9" i="3"/>
  <c r="U9" i="3"/>
  <c r="V9" i="3"/>
  <c r="W9" i="3"/>
  <c r="X9" i="3"/>
  <c r="Y9" i="3"/>
  <c r="Z9" i="3"/>
  <c r="AA9" i="3"/>
  <c r="AB9" i="3"/>
  <c r="AC9" i="3"/>
  <c r="C10" i="3"/>
  <c r="D10" i="3"/>
  <c r="E10" i="3"/>
  <c r="F10" i="3"/>
  <c r="G10" i="3"/>
  <c r="H10" i="3"/>
  <c r="I10" i="3"/>
  <c r="J10" i="3"/>
  <c r="K10" i="3"/>
  <c r="L10" i="3"/>
  <c r="M10" i="3"/>
  <c r="N10" i="3"/>
  <c r="O10" i="3"/>
  <c r="P10" i="3"/>
  <c r="Q10" i="3"/>
  <c r="T10" i="3"/>
  <c r="U10" i="3"/>
  <c r="V10" i="3"/>
  <c r="W10" i="3"/>
  <c r="X10" i="3"/>
  <c r="Y10" i="3"/>
  <c r="Z10" i="3"/>
  <c r="AA10" i="3"/>
  <c r="AB10" i="3"/>
  <c r="AC10" i="3"/>
  <c r="T11" i="3"/>
  <c r="U11" i="3"/>
  <c r="V11" i="3"/>
  <c r="W11" i="3"/>
  <c r="X11" i="3"/>
  <c r="C12" i="3"/>
  <c r="D12" i="3"/>
  <c r="E12" i="3"/>
  <c r="F12" i="3"/>
  <c r="G12" i="3"/>
  <c r="H12" i="3"/>
  <c r="I12" i="3"/>
  <c r="J12" i="3"/>
  <c r="K12" i="3"/>
  <c r="L12" i="3"/>
  <c r="M12" i="3"/>
  <c r="N12" i="3"/>
  <c r="O12" i="3"/>
  <c r="P12" i="3"/>
  <c r="Q12" i="3"/>
  <c r="R12" i="3"/>
  <c r="S12" i="3"/>
  <c r="T12" i="3"/>
  <c r="U12" i="3"/>
  <c r="V12" i="3"/>
  <c r="W12" i="3"/>
  <c r="X12" i="3"/>
  <c r="Y12" i="3"/>
  <c r="Z12" i="3"/>
  <c r="AA12" i="3"/>
  <c r="AB12" i="3"/>
  <c r="AC12" i="3"/>
  <c r="C14" i="3"/>
  <c r="D14" i="3"/>
  <c r="E14" i="3"/>
  <c r="F14" i="3"/>
  <c r="G14" i="3"/>
  <c r="H14" i="3"/>
  <c r="I14" i="3"/>
  <c r="J14" i="3"/>
  <c r="K14" i="3"/>
  <c r="L14" i="3"/>
  <c r="M14" i="3"/>
  <c r="N14" i="3"/>
  <c r="O14" i="3"/>
  <c r="Q14" i="3"/>
  <c r="T14" i="3"/>
  <c r="U14" i="3"/>
  <c r="V14" i="3"/>
  <c r="W14" i="3"/>
  <c r="X14" i="3"/>
  <c r="Y14" i="3"/>
  <c r="Z14" i="3"/>
  <c r="AA14" i="3"/>
  <c r="AB14" i="3"/>
  <c r="AC14" i="3"/>
  <c r="C16" i="3"/>
  <c r="D16" i="3"/>
  <c r="E16" i="3"/>
  <c r="F16" i="3"/>
  <c r="G16" i="3"/>
  <c r="H16" i="3"/>
  <c r="I16" i="3"/>
  <c r="J16" i="3"/>
  <c r="K16" i="3"/>
  <c r="L16" i="3"/>
  <c r="M16" i="3"/>
  <c r="N16" i="3"/>
  <c r="O16" i="3"/>
  <c r="P16" i="3"/>
  <c r="Q16" i="3"/>
  <c r="R16" i="3"/>
  <c r="S16" i="3"/>
  <c r="T16" i="3"/>
  <c r="U16" i="3"/>
  <c r="V16" i="3"/>
  <c r="W16" i="3"/>
  <c r="X16" i="3"/>
  <c r="Y16" i="3"/>
  <c r="Z16" i="3"/>
  <c r="AA16" i="3"/>
  <c r="AB16" i="3"/>
  <c r="AC16" i="3"/>
  <c r="C20" i="3"/>
  <c r="D20" i="3"/>
  <c r="E20" i="3"/>
  <c r="F20" i="3"/>
  <c r="G22" i="3"/>
  <c r="H22" i="3"/>
  <c r="I22" i="3"/>
  <c r="J22" i="3"/>
  <c r="K22" i="3"/>
  <c r="L22" i="3"/>
  <c r="M22" i="3"/>
  <c r="N22" i="3"/>
  <c r="O22" i="3"/>
  <c r="P22" i="3"/>
  <c r="Q22" i="3"/>
  <c r="R22" i="3"/>
  <c r="S22" i="3"/>
  <c r="T22" i="3"/>
  <c r="U22" i="3"/>
  <c r="V22" i="3"/>
  <c r="W22" i="3"/>
  <c r="X22" i="3"/>
  <c r="Y22" i="3"/>
  <c r="Z22" i="3"/>
  <c r="AA22" i="3"/>
  <c r="AB22" i="3"/>
  <c r="AC22" i="3"/>
  <c r="C25" i="3"/>
  <c r="D25" i="3"/>
  <c r="E25" i="3"/>
  <c r="F25" i="3"/>
  <c r="G25" i="3"/>
  <c r="H25" i="3"/>
  <c r="I25" i="3"/>
  <c r="J25" i="3"/>
  <c r="K25" i="3"/>
  <c r="L25" i="3"/>
  <c r="M25" i="3"/>
  <c r="N25" i="3"/>
  <c r="O25" i="3"/>
  <c r="Q25" i="3"/>
  <c r="T25" i="3"/>
  <c r="U25" i="3"/>
  <c r="V25" i="3"/>
  <c r="W25" i="3"/>
  <c r="X25" i="3"/>
  <c r="Y25" i="3"/>
  <c r="Z25" i="3"/>
  <c r="AA25" i="3"/>
  <c r="AB25" i="3"/>
  <c r="AC25" i="3"/>
  <c r="C27" i="3"/>
  <c r="D27" i="3"/>
  <c r="E27" i="3"/>
  <c r="C34" i="3"/>
  <c r="D34" i="3"/>
  <c r="E34" i="3"/>
  <c r="F34" i="3"/>
  <c r="G34" i="3"/>
  <c r="H34" i="3"/>
  <c r="I34" i="3"/>
  <c r="J34" i="3"/>
  <c r="K34" i="3"/>
  <c r="L34" i="3"/>
  <c r="M34" i="3"/>
  <c r="N34" i="3"/>
  <c r="O34" i="3"/>
  <c r="P34" i="3"/>
  <c r="Q34" i="3"/>
  <c r="R34" i="3"/>
  <c r="S34" i="3"/>
  <c r="T34" i="3"/>
  <c r="U34" i="3"/>
  <c r="V34" i="3"/>
  <c r="W34" i="3"/>
  <c r="X34" i="3"/>
  <c r="AL60" i="3"/>
  <c r="AG72" i="4" s="1"/>
  <c r="D71" i="3"/>
  <c r="D101" i="3" s="1"/>
  <c r="E71" i="3"/>
  <c r="E101" i="3" s="1"/>
  <c r="F71" i="3"/>
  <c r="G71" i="3"/>
  <c r="H71" i="3"/>
  <c r="I31" i="10" s="1"/>
  <c r="I15" i="10" s="1"/>
  <c r="I36" i="17" s="1"/>
  <c r="I71" i="3"/>
  <c r="J31" i="10" s="1"/>
  <c r="J15" i="10" s="1"/>
  <c r="J36" i="17" s="1"/>
  <c r="J71" i="3"/>
  <c r="K31" i="10" s="1"/>
  <c r="K15" i="10" s="1"/>
  <c r="K71" i="3"/>
  <c r="L31" i="10" s="1"/>
  <c r="L15" i="10" s="1"/>
  <c r="L71" i="3"/>
  <c r="M31" i="10" s="1"/>
  <c r="M15" i="10" s="1"/>
  <c r="M71" i="3"/>
  <c r="N71" i="3"/>
  <c r="O31" i="10" s="1"/>
  <c r="O15" i="10" s="1"/>
  <c r="O71" i="3"/>
  <c r="O101" i="3" s="1"/>
  <c r="P71" i="3"/>
  <c r="Q31" i="10" s="1"/>
  <c r="Q15" i="10" s="1"/>
  <c r="Q71" i="3"/>
  <c r="Q101" i="3" s="1"/>
  <c r="R71" i="3"/>
  <c r="S31" i="10" s="1"/>
  <c r="S15" i="10" s="1"/>
  <c r="S71" i="3"/>
  <c r="T31" i="10" s="1"/>
  <c r="T15" i="10" s="1"/>
  <c r="T71" i="3"/>
  <c r="U31" i="10" s="1"/>
  <c r="U15" i="10" s="1"/>
  <c r="U71" i="3"/>
  <c r="V71" i="3"/>
  <c r="W31" i="10" s="1"/>
  <c r="W15" i="10" s="1"/>
  <c r="W71" i="3"/>
  <c r="X31" i="10" s="1"/>
  <c r="X15" i="10" s="1"/>
  <c r="X71" i="3"/>
  <c r="Y31" i="10" s="1"/>
  <c r="Y15" i="10" s="1"/>
  <c r="Y71" i="3"/>
  <c r="Z31" i="10" s="1"/>
  <c r="Z15" i="10" s="1"/>
  <c r="H74" i="3"/>
  <c r="H82" i="3" s="1"/>
  <c r="I74" i="3"/>
  <c r="J74" i="3"/>
  <c r="K74" i="3"/>
  <c r="L74" i="3"/>
  <c r="M74" i="3"/>
  <c r="N74" i="3"/>
  <c r="O74" i="3"/>
  <c r="P74" i="3"/>
  <c r="I76" i="3"/>
  <c r="J76" i="3"/>
  <c r="K76" i="3"/>
  <c r="L76" i="3"/>
  <c r="M76" i="3"/>
  <c r="N76" i="3"/>
  <c r="O76" i="3"/>
  <c r="P76" i="3"/>
  <c r="Q76" i="3"/>
  <c r="R76" i="3"/>
  <c r="M80" i="3"/>
  <c r="N80" i="3"/>
  <c r="O80" i="3"/>
  <c r="P80" i="3"/>
  <c r="Q80" i="3"/>
  <c r="R80" i="3"/>
  <c r="S80" i="3"/>
  <c r="T80" i="3"/>
  <c r="U80" i="3"/>
  <c r="C82" i="3"/>
  <c r="D82" i="3"/>
  <c r="D86" i="3" s="1"/>
  <c r="E82" i="3"/>
  <c r="F82" i="3"/>
  <c r="F86" i="3" s="1"/>
  <c r="G82" i="3"/>
  <c r="V82" i="3"/>
  <c r="V86" i="3" s="1"/>
  <c r="W82" i="3"/>
  <c r="W86" i="3" s="1"/>
  <c r="X82" i="3"/>
  <c r="X86" i="3" s="1"/>
  <c r="Y82" i="3"/>
  <c r="Y86" i="3" s="1"/>
  <c r="Z82" i="3"/>
  <c r="Z86" i="3" s="1"/>
  <c r="AA82" i="3"/>
  <c r="AA86" i="3" s="1"/>
  <c r="AB82" i="3"/>
  <c r="AB86" i="3" s="1"/>
  <c r="AC82" i="3"/>
  <c r="C86" i="3"/>
  <c r="E86" i="3"/>
  <c r="G86" i="3"/>
  <c r="C93" i="3"/>
  <c r="C94" i="3"/>
  <c r="C101" i="3"/>
  <c r="V101" i="3"/>
  <c r="Z101" i="3"/>
  <c r="AA101" i="3"/>
  <c r="AB101" i="3"/>
  <c r="AC101" i="3"/>
  <c r="C8" i="12"/>
  <c r="D8" i="12"/>
  <c r="D12" i="12" s="1"/>
  <c r="E8" i="12"/>
  <c r="F8" i="12"/>
  <c r="G8" i="12"/>
  <c r="H8" i="12"/>
  <c r="H12" i="12" s="1"/>
  <c r="I8" i="12"/>
  <c r="J8" i="12"/>
  <c r="K8" i="12"/>
  <c r="M8" i="12"/>
  <c r="M12" i="12" s="1"/>
  <c r="M14" i="12" s="1"/>
  <c r="N8" i="12"/>
  <c r="O8" i="12"/>
  <c r="P8" i="12"/>
  <c r="Q8" i="12"/>
  <c r="Q12" i="12" s="1"/>
  <c r="Q14" i="12" s="1"/>
  <c r="R8" i="12"/>
  <c r="S8" i="12"/>
  <c r="C9" i="12"/>
  <c r="D9" i="12"/>
  <c r="E9" i="12"/>
  <c r="F9" i="12"/>
  <c r="G9" i="12"/>
  <c r="H9" i="12"/>
  <c r="I9" i="12"/>
  <c r="J9" i="12"/>
  <c r="K9" i="12"/>
  <c r="L9" i="12"/>
  <c r="M9" i="12"/>
  <c r="N9" i="12"/>
  <c r="O9" i="12"/>
  <c r="P9" i="12"/>
  <c r="P12" i="12" s="1"/>
  <c r="P14" i="12" s="1"/>
  <c r="Q9" i="12"/>
  <c r="R9" i="12"/>
  <c r="C10" i="12"/>
  <c r="D10" i="12"/>
  <c r="E10" i="12"/>
  <c r="F10" i="12"/>
  <c r="G10" i="12"/>
  <c r="H10" i="12"/>
  <c r="I10" i="12"/>
  <c r="J10" i="12"/>
  <c r="K10" i="12"/>
  <c r="L10" i="12"/>
  <c r="M10" i="12"/>
  <c r="N10" i="12"/>
  <c r="O10" i="12"/>
  <c r="P10" i="12"/>
  <c r="Q10" i="12"/>
  <c r="R10" i="12"/>
  <c r="S10" i="12"/>
  <c r="T10" i="12"/>
  <c r="U10" i="12"/>
  <c r="V10" i="12"/>
  <c r="W10" i="12"/>
  <c r="X10" i="12"/>
  <c r="C11" i="12"/>
  <c r="D11" i="12"/>
  <c r="E11" i="12"/>
  <c r="F11" i="12"/>
  <c r="G11" i="12"/>
  <c r="H11" i="12"/>
  <c r="I11" i="12"/>
  <c r="J11" i="12"/>
  <c r="K11" i="12"/>
  <c r="L11" i="12"/>
  <c r="M11" i="12"/>
  <c r="N11" i="12"/>
  <c r="N12" i="12" s="1"/>
  <c r="N14" i="12" s="1"/>
  <c r="O11" i="12"/>
  <c r="P11" i="12"/>
  <c r="Q11" i="12"/>
  <c r="R11" i="12"/>
  <c r="R12" i="12" s="1"/>
  <c r="R14" i="12" s="1"/>
  <c r="C12" i="12"/>
  <c r="E12" i="12"/>
  <c r="F12" i="12"/>
  <c r="F14" i="12" s="1"/>
  <c r="G12" i="12"/>
  <c r="I12" i="12"/>
  <c r="J12" i="12"/>
  <c r="K12" i="12"/>
  <c r="C13" i="12"/>
  <c r="D13" i="12"/>
  <c r="E13" i="12"/>
  <c r="F13" i="12"/>
  <c r="G13" i="12"/>
  <c r="H13" i="12"/>
  <c r="I13" i="12"/>
  <c r="I14" i="12" s="1"/>
  <c r="J13" i="12"/>
  <c r="J14" i="12"/>
  <c r="J12" i="13" s="1"/>
  <c r="K13" i="12"/>
  <c r="L13" i="12"/>
  <c r="M13" i="12"/>
  <c r="N13" i="12"/>
  <c r="O13" i="12"/>
  <c r="P13" i="12"/>
  <c r="Q13" i="12"/>
  <c r="R13" i="12"/>
  <c r="S13" i="12"/>
  <c r="E14" i="12"/>
  <c r="C8" i="2"/>
  <c r="C13" i="2" s="1"/>
  <c r="D8" i="2"/>
  <c r="E8" i="2"/>
  <c r="F8" i="2"/>
  <c r="G8" i="2"/>
  <c r="H8" i="2"/>
  <c r="I8" i="2"/>
  <c r="J8" i="2"/>
  <c r="K8" i="2"/>
  <c r="L8" i="2"/>
  <c r="M8" i="2"/>
  <c r="N8" i="2"/>
  <c r="O8" i="2"/>
  <c r="P8" i="2"/>
  <c r="Q8" i="2"/>
  <c r="R8" i="2"/>
  <c r="S8" i="2"/>
  <c r="T8" i="2"/>
  <c r="U8" i="2"/>
  <c r="V8" i="2"/>
  <c r="W8" i="2"/>
  <c r="X8" i="2"/>
  <c r="Y8" i="2"/>
  <c r="Z8" i="2"/>
  <c r="AA8" i="2"/>
  <c r="AB8" i="2"/>
  <c r="AC8" i="2"/>
  <c r="C9" i="2"/>
  <c r="D9" i="2"/>
  <c r="E9" i="2"/>
  <c r="F9" i="2"/>
  <c r="G9" i="2"/>
  <c r="H9" i="2"/>
  <c r="I9" i="2"/>
  <c r="J9" i="2"/>
  <c r="K9" i="2"/>
  <c r="L9" i="2"/>
  <c r="L13" i="2" s="1"/>
  <c r="L15" i="2" s="1"/>
  <c r="M9" i="2"/>
  <c r="N9" i="2"/>
  <c r="O9" i="2"/>
  <c r="P9" i="2"/>
  <c r="P13" i="2" s="1"/>
  <c r="P15" i="2" s="1"/>
  <c r="Q9" i="2"/>
  <c r="R9" i="2"/>
  <c r="U9" i="2"/>
  <c r="V9" i="2"/>
  <c r="W9" i="2"/>
  <c r="X9" i="2"/>
  <c r="Y9" i="2"/>
  <c r="Z9" i="2"/>
  <c r="AB9" i="2"/>
  <c r="AC9" i="2"/>
  <c r="U10" i="2"/>
  <c r="V10" i="2"/>
  <c r="W10" i="2"/>
  <c r="X10" i="2"/>
  <c r="Y10" i="2"/>
  <c r="Z10" i="2"/>
  <c r="AA10" i="2"/>
  <c r="AB10" i="2"/>
  <c r="AC10" i="2"/>
  <c r="C11" i="2"/>
  <c r="D11" i="2"/>
  <c r="E11" i="2"/>
  <c r="F11" i="2"/>
  <c r="G11" i="2"/>
  <c r="H11" i="2"/>
  <c r="I11" i="2"/>
  <c r="J11" i="2"/>
  <c r="K11" i="2"/>
  <c r="L11" i="2"/>
  <c r="M11" i="2"/>
  <c r="N11" i="2"/>
  <c r="O11" i="2"/>
  <c r="P11" i="2"/>
  <c r="Q11" i="2"/>
  <c r="R11" i="2"/>
  <c r="S11" i="2"/>
  <c r="T11" i="2"/>
  <c r="U11" i="2"/>
  <c r="V11" i="2"/>
  <c r="W11" i="2"/>
  <c r="X11" i="2"/>
  <c r="Y11" i="2"/>
  <c r="Z11" i="2"/>
  <c r="AA11" i="2"/>
  <c r="AB11" i="2"/>
  <c r="AC11" i="2"/>
  <c r="C12" i="2"/>
  <c r="D12" i="2"/>
  <c r="E12" i="2"/>
  <c r="F12" i="2"/>
  <c r="G12" i="2"/>
  <c r="H12" i="2"/>
  <c r="I12" i="2"/>
  <c r="J12" i="2"/>
  <c r="K12" i="2"/>
  <c r="L12" i="2"/>
  <c r="M12" i="2"/>
  <c r="N12" i="2"/>
  <c r="O12" i="2"/>
  <c r="P12" i="2"/>
  <c r="R12" i="2"/>
  <c r="U12" i="2"/>
  <c r="V12" i="2"/>
  <c r="W12" i="2"/>
  <c r="X12" i="2"/>
  <c r="Y12" i="2"/>
  <c r="Z12" i="2"/>
  <c r="AA12" i="2"/>
  <c r="AB12" i="2"/>
  <c r="AC12" i="2"/>
  <c r="H13" i="2"/>
  <c r="H15" i="2" s="1"/>
  <c r="H26" i="2" s="1"/>
  <c r="C14" i="2"/>
  <c r="D14" i="2"/>
  <c r="E14" i="2"/>
  <c r="F14" i="2"/>
  <c r="G14" i="2"/>
  <c r="H14" i="2"/>
  <c r="I14" i="2"/>
  <c r="J14" i="2"/>
  <c r="K14" i="2"/>
  <c r="L14" i="2"/>
  <c r="M14" i="2"/>
  <c r="N14" i="2"/>
  <c r="O14" i="2"/>
  <c r="P14" i="2"/>
  <c r="Q14" i="2"/>
  <c r="R14" i="2"/>
  <c r="S14" i="2"/>
  <c r="T14" i="2"/>
  <c r="U14" i="2"/>
  <c r="V14" i="2"/>
  <c r="W14" i="2"/>
  <c r="X14" i="2"/>
  <c r="Y14" i="2"/>
  <c r="Z14" i="2"/>
  <c r="AA14" i="2"/>
  <c r="AB14" i="2"/>
  <c r="AC14" i="2"/>
  <c r="C18" i="2"/>
  <c r="D18" i="2"/>
  <c r="E18" i="2"/>
  <c r="F18" i="2"/>
  <c r="G18" i="2"/>
  <c r="C21" i="2"/>
  <c r="D21" i="2"/>
  <c r="E21" i="2"/>
  <c r="F21" i="2"/>
  <c r="G21" i="2"/>
  <c r="H21" i="2"/>
  <c r="I21" i="2"/>
  <c r="J21" i="2"/>
  <c r="K21" i="2"/>
  <c r="L21" i="2"/>
  <c r="M21" i="2"/>
  <c r="N21" i="2"/>
  <c r="O21" i="2"/>
  <c r="P21" i="2"/>
  <c r="R21" i="2"/>
  <c r="U21" i="2"/>
  <c r="V21" i="2"/>
  <c r="W21" i="2"/>
  <c r="X21" i="2"/>
  <c r="Y21" i="2"/>
  <c r="Z21" i="2"/>
  <c r="AA21" i="2"/>
  <c r="AB21" i="2"/>
  <c r="AC21" i="2"/>
  <c r="C23" i="2"/>
  <c r="D23" i="2"/>
  <c r="E23" i="2"/>
  <c r="F23" i="2"/>
  <c r="G23" i="2"/>
  <c r="H23" i="2"/>
  <c r="I23" i="2"/>
  <c r="J23" i="2"/>
  <c r="K23" i="2"/>
  <c r="L23" i="2"/>
  <c r="M23" i="2"/>
  <c r="N23" i="2"/>
  <c r="O23" i="2"/>
  <c r="P23" i="2"/>
  <c r="Q23" i="2"/>
  <c r="R23" i="2"/>
  <c r="S23" i="2"/>
  <c r="T23" i="2"/>
  <c r="U23" i="2"/>
  <c r="V23" i="2"/>
  <c r="W23" i="2"/>
  <c r="X23" i="2"/>
  <c r="Y23" i="2"/>
  <c r="Z23" i="2"/>
  <c r="AA23" i="2"/>
  <c r="AB23" i="2"/>
  <c r="AC23" i="2"/>
  <c r="C28" i="2"/>
  <c r="D28" i="2"/>
  <c r="E28" i="2"/>
  <c r="F28" i="2"/>
  <c r="G28" i="2"/>
  <c r="H28" i="2"/>
  <c r="I28" i="2"/>
  <c r="J28" i="2"/>
  <c r="K28" i="2"/>
  <c r="L28" i="2"/>
  <c r="M28" i="2"/>
  <c r="N28" i="2"/>
  <c r="O28" i="2"/>
  <c r="P28" i="2"/>
  <c r="Q28" i="2"/>
  <c r="R28" i="2"/>
  <c r="S28" i="2"/>
  <c r="T28" i="2"/>
  <c r="U28" i="2"/>
  <c r="V28" i="2"/>
  <c r="W28" i="2"/>
  <c r="X28" i="2"/>
  <c r="Y28" i="2"/>
  <c r="Z28" i="2"/>
  <c r="AA28" i="2"/>
  <c r="AB28" i="2"/>
  <c r="AC28" i="2"/>
  <c r="U6" i="11"/>
  <c r="R7" i="11"/>
  <c r="U7" i="11"/>
  <c r="V7" i="11" s="1"/>
  <c r="R8" i="11"/>
  <c r="U8" i="11"/>
  <c r="V8" i="11"/>
  <c r="L11" i="11"/>
  <c r="S13" i="13"/>
  <c r="T13" i="13"/>
  <c r="M18" i="11"/>
  <c r="C19" i="11"/>
  <c r="D19" i="11"/>
  <c r="D20" i="11" s="1"/>
  <c r="E19" i="11"/>
  <c r="E20" i="11"/>
  <c r="F19" i="11"/>
  <c r="G19" i="11"/>
  <c r="G20" i="11" s="1"/>
  <c r="H19" i="11"/>
  <c r="I19" i="11"/>
  <c r="I20" i="11" s="1"/>
  <c r="J19" i="11"/>
  <c r="K19" i="11"/>
  <c r="K20" i="11" s="1"/>
  <c r="L19" i="11"/>
  <c r="M19" i="11"/>
  <c r="N19" i="11"/>
  <c r="N20" i="11" s="1"/>
  <c r="O19" i="11"/>
  <c r="O20" i="11"/>
  <c r="P19" i="11"/>
  <c r="Q19" i="11"/>
  <c r="Q20" i="11" s="1"/>
  <c r="R19" i="11"/>
  <c r="S19" i="11"/>
  <c r="S20" i="11" s="1"/>
  <c r="T19" i="11"/>
  <c r="T20" i="11" s="1"/>
  <c r="F20" i="11"/>
  <c r="H20" i="11"/>
  <c r="J20" i="11"/>
  <c r="L20" i="11"/>
  <c r="P20" i="11"/>
  <c r="R20" i="11"/>
  <c r="C29" i="11"/>
  <c r="D29" i="11"/>
  <c r="E29" i="11"/>
  <c r="F29" i="11"/>
  <c r="G29" i="11"/>
  <c r="H29" i="11"/>
  <c r="I29" i="11"/>
  <c r="J29" i="11"/>
  <c r="K29" i="11"/>
  <c r="L29" i="11"/>
  <c r="M29" i="11"/>
  <c r="N29" i="11"/>
  <c r="O29" i="11"/>
  <c r="P29" i="11"/>
  <c r="Q29" i="11"/>
  <c r="R29" i="11"/>
  <c r="S29" i="11"/>
  <c r="T29" i="11"/>
  <c r="C31" i="11"/>
  <c r="D31" i="11"/>
  <c r="C18" i="13" s="1"/>
  <c r="E31" i="11"/>
  <c r="D18" i="13" s="1"/>
  <c r="F31" i="11"/>
  <c r="E18" i="13" s="1"/>
  <c r="G31" i="11"/>
  <c r="F18" i="13" s="1"/>
  <c r="H31" i="11"/>
  <c r="G18" i="13" s="1"/>
  <c r="I31" i="11"/>
  <c r="H18" i="13" s="1"/>
  <c r="J31" i="11"/>
  <c r="I18" i="13" s="1"/>
  <c r="K31" i="11"/>
  <c r="J18" i="13" s="1"/>
  <c r="L31" i="11"/>
  <c r="K18" i="13" s="1"/>
  <c r="M31" i="11"/>
  <c r="L18" i="13" s="1"/>
  <c r="N31" i="11"/>
  <c r="M18" i="13" s="1"/>
  <c r="O31" i="11"/>
  <c r="N18" i="13" s="1"/>
  <c r="P31" i="11"/>
  <c r="O18" i="13" s="1"/>
  <c r="Q31" i="11"/>
  <c r="P18" i="13" s="1"/>
  <c r="S31" i="11"/>
  <c r="R18" i="13" s="1"/>
  <c r="T31" i="11"/>
  <c r="S18" i="13" s="1"/>
  <c r="T16" i="16"/>
  <c r="U14" i="1"/>
  <c r="T15" i="1"/>
  <c r="R11" i="3" s="1"/>
  <c r="U15" i="1"/>
  <c r="S11" i="3" s="1"/>
  <c r="R18" i="1"/>
  <c r="P25" i="3" s="1"/>
  <c r="T18" i="1"/>
  <c r="U18" i="1"/>
  <c r="S14" i="3" s="1"/>
  <c r="P19" i="1"/>
  <c r="P21" i="1" s="1"/>
  <c r="P22" i="1" s="1"/>
  <c r="S20" i="1"/>
  <c r="Z20" i="1"/>
  <c r="D21" i="1"/>
  <c r="E21" i="1"/>
  <c r="F21" i="1"/>
  <c r="F22" i="1" s="1"/>
  <c r="G21" i="1"/>
  <c r="H21" i="1"/>
  <c r="H22" i="1" s="1"/>
  <c r="I21" i="1"/>
  <c r="I22" i="1" s="1"/>
  <c r="J21" i="1"/>
  <c r="J22" i="1" s="1"/>
  <c r="K21" i="1"/>
  <c r="L21" i="1"/>
  <c r="L22" i="1" s="1"/>
  <c r="M21" i="1"/>
  <c r="N21" i="1"/>
  <c r="N22" i="1" s="1"/>
  <c r="O21" i="1"/>
  <c r="O22" i="1" s="1"/>
  <c r="Q21" i="1"/>
  <c r="Q22" i="1" s="1"/>
  <c r="S21" i="1"/>
  <c r="S22" i="1" s="1"/>
  <c r="V21" i="1"/>
  <c r="V22" i="1" s="1"/>
  <c r="W21" i="1"/>
  <c r="X21" i="1"/>
  <c r="X22" i="1" s="1"/>
  <c r="Y21" i="1"/>
  <c r="Y22" i="1" s="1"/>
  <c r="Z21" i="1"/>
  <c r="Z22" i="1" s="1"/>
  <c r="AA21" i="1"/>
  <c r="AA22" i="1" s="1"/>
  <c r="AB21" i="1"/>
  <c r="AB22" i="1" s="1"/>
  <c r="AC21" i="1"/>
  <c r="AC22" i="1" s="1"/>
  <c r="AD21" i="1"/>
  <c r="AD22" i="1" s="1"/>
  <c r="AE21" i="1"/>
  <c r="AE22" i="1" s="1"/>
  <c r="E22" i="1"/>
  <c r="G22" i="1"/>
  <c r="K22" i="1"/>
  <c r="M22" i="1"/>
  <c r="W22" i="1"/>
  <c r="H28" i="1"/>
  <c r="H18" i="2" s="1"/>
  <c r="H22" i="2" s="1"/>
  <c r="H24" i="2" s="1"/>
  <c r="G24" i="3" s="1"/>
  <c r="I28" i="1"/>
  <c r="J28" i="1"/>
  <c r="K28" i="1"/>
  <c r="J20" i="3" s="1"/>
  <c r="L28" i="1"/>
  <c r="L18" i="2" s="1"/>
  <c r="L22" i="2" s="1"/>
  <c r="L24" i="2" s="1"/>
  <c r="M28" i="1"/>
  <c r="N28" i="1"/>
  <c r="O28" i="1"/>
  <c r="N20" i="3"/>
  <c r="P28" i="1"/>
  <c r="Q28" i="1"/>
  <c r="P20" i="3" s="1"/>
  <c r="R28" i="1"/>
  <c r="S28" i="1"/>
  <c r="S18" i="2" s="1"/>
  <c r="T28" i="1"/>
  <c r="U28" i="1"/>
  <c r="S27" i="3" s="1"/>
  <c r="V28" i="1"/>
  <c r="W28" i="1"/>
  <c r="W18" i="2" s="1"/>
  <c r="X28" i="1"/>
  <c r="Y28" i="1"/>
  <c r="Z28" i="1"/>
  <c r="AA28" i="1"/>
  <c r="Y27" i="3" s="1"/>
  <c r="AA32" i="8"/>
  <c r="AB20" i="3"/>
  <c r="AD28" i="1"/>
  <c r="AD18" i="2" s="1"/>
  <c r="AE28" i="1"/>
  <c r="AC27" i="3" s="1"/>
  <c r="Y32" i="1"/>
  <c r="Y35" i="1"/>
  <c r="X9" i="9" s="1"/>
  <c r="D38" i="1"/>
  <c r="C20" i="2" s="1"/>
  <c r="E38" i="1"/>
  <c r="F38" i="1"/>
  <c r="G38" i="1"/>
  <c r="E23" i="3" s="1"/>
  <c r="H38" i="1"/>
  <c r="I38" i="1"/>
  <c r="J38" i="1"/>
  <c r="K38" i="1"/>
  <c r="I23" i="3" s="1"/>
  <c r="L38" i="1"/>
  <c r="J23" i="3" s="1"/>
  <c r="M38" i="1"/>
  <c r="N38" i="1"/>
  <c r="O38" i="1"/>
  <c r="M23" i="3" s="1"/>
  <c r="P38" i="1"/>
  <c r="Q38" i="1"/>
  <c r="R38" i="1"/>
  <c r="S38" i="1"/>
  <c r="Q23" i="3" s="1"/>
  <c r="T38" i="1"/>
  <c r="R23" i="3" s="1"/>
  <c r="U38" i="1"/>
  <c r="V38" i="1"/>
  <c r="W38" i="1"/>
  <c r="U23" i="3" s="1"/>
  <c r="X38" i="1"/>
  <c r="Y38" i="1"/>
  <c r="Z38" i="1"/>
  <c r="Y23" i="3"/>
  <c r="AB38" i="1"/>
  <c r="Z23" i="3" s="1"/>
  <c r="AC38" i="1"/>
  <c r="AB20" i="2" s="1"/>
  <c r="AD38" i="1"/>
  <c r="AB23" i="3" s="1"/>
  <c r="AE38" i="1"/>
  <c r="AD20" i="2" s="1"/>
  <c r="W16" i="6"/>
  <c r="Y43" i="1"/>
  <c r="D46" i="1"/>
  <c r="C18" i="9" s="1"/>
  <c r="E46" i="1"/>
  <c r="D18" i="9" s="1"/>
  <c r="F46" i="1"/>
  <c r="E18" i="9" s="1"/>
  <c r="G46" i="1"/>
  <c r="F18" i="9" s="1"/>
  <c r="H46" i="1"/>
  <c r="G45" i="17" s="1"/>
  <c r="I46" i="1"/>
  <c r="J46" i="1"/>
  <c r="K46" i="1"/>
  <c r="J23" i="8" s="1"/>
  <c r="L46" i="1"/>
  <c r="K18" i="9" s="1"/>
  <c r="M46" i="1"/>
  <c r="N46" i="1"/>
  <c r="O46" i="1"/>
  <c r="N23" i="8" s="1"/>
  <c r="P46" i="1"/>
  <c r="O45" i="17" s="1"/>
  <c r="Q46" i="1"/>
  <c r="R46" i="1"/>
  <c r="S46" i="1"/>
  <c r="R18" i="9" s="1"/>
  <c r="T46" i="1"/>
  <c r="S23" i="8" s="1"/>
  <c r="U46" i="1"/>
  <c r="T23" i="8"/>
  <c r="V46" i="1"/>
  <c r="W46" i="1"/>
  <c r="V23" i="17" s="1"/>
  <c r="X46" i="1"/>
  <c r="Y46" i="1"/>
  <c r="Z46" i="1"/>
  <c r="Z45" i="17"/>
  <c r="AA18" i="9"/>
  <c r="AD46" i="1"/>
  <c r="AC18" i="9" s="1"/>
  <c r="AE46" i="1"/>
  <c r="AD23" i="8" s="1"/>
  <c r="E24" i="15"/>
  <c r="E12" i="15" s="1"/>
  <c r="E12" i="13"/>
  <c r="J24" i="15"/>
  <c r="J12" i="15" s="1"/>
  <c r="Q30" i="17"/>
  <c r="M30" i="17"/>
  <c r="J30" i="17"/>
  <c r="U16" i="16"/>
  <c r="T25" i="16"/>
  <c r="T9" i="16"/>
  <c r="T24" i="16"/>
  <c r="S15" i="13"/>
  <c r="T9" i="13"/>
  <c r="T8" i="12"/>
  <c r="P23" i="17"/>
  <c r="L23" i="8"/>
  <c r="E8" i="6"/>
  <c r="X20" i="3"/>
  <c r="V32" i="8"/>
  <c r="V10" i="8" s="1"/>
  <c r="V11" i="17" s="1"/>
  <c r="N32" i="8"/>
  <c r="N10" i="8" s="1"/>
  <c r="N11" i="17" s="1"/>
  <c r="M27" i="3"/>
  <c r="L20" i="3"/>
  <c r="J32" i="8"/>
  <c r="I27" i="3"/>
  <c r="H20" i="3"/>
  <c r="S25" i="3"/>
  <c r="P14" i="3"/>
  <c r="T14" i="1"/>
  <c r="U31" i="11"/>
  <c r="T18" i="13" s="1"/>
  <c r="S22" i="15"/>
  <c r="S21" i="15"/>
  <c r="S10" i="13"/>
  <c r="S20" i="2"/>
  <c r="K20" i="2"/>
  <c r="O18" i="2"/>
  <c r="K18" i="2"/>
  <c r="I18" i="2"/>
  <c r="S10" i="2"/>
  <c r="S11" i="12"/>
  <c r="S9" i="12"/>
  <c r="AA23" i="8"/>
  <c r="Y23" i="17"/>
  <c r="Y45" i="17"/>
  <c r="Y23" i="8"/>
  <c r="Y18" i="9"/>
  <c r="V8" i="6"/>
  <c r="W23" i="17"/>
  <c r="W45" i="17"/>
  <c r="W23" i="8"/>
  <c r="W18" i="9"/>
  <c r="T8" i="6"/>
  <c r="U23" i="17"/>
  <c r="U45" i="17"/>
  <c r="U23" i="8"/>
  <c r="U18" i="9"/>
  <c r="R8" i="6"/>
  <c r="Q18" i="9"/>
  <c r="O23" i="17"/>
  <c r="L8" i="6"/>
  <c r="M23" i="17"/>
  <c r="M45" i="17"/>
  <c r="M23" i="8"/>
  <c r="M18" i="9"/>
  <c r="J8" i="6"/>
  <c r="K23" i="8"/>
  <c r="I23" i="17"/>
  <c r="I45" i="17"/>
  <c r="I23" i="8"/>
  <c r="I18" i="9"/>
  <c r="F8" i="6"/>
  <c r="G23" i="17"/>
  <c r="D8" i="6"/>
  <c r="E45" i="17"/>
  <c r="C45" i="17"/>
  <c r="X26" i="10"/>
  <c r="U10" i="6"/>
  <c r="Y32" i="8"/>
  <c r="Y10" i="8" s="1"/>
  <c r="Y20" i="3"/>
  <c r="V27" i="3"/>
  <c r="U32" i="8"/>
  <c r="U10" i="8" s="1"/>
  <c r="U11" i="17" s="1"/>
  <c r="T27" i="3"/>
  <c r="U20" i="3"/>
  <c r="S32" i="8"/>
  <c r="R27" i="3"/>
  <c r="S20" i="3"/>
  <c r="Q32" i="8"/>
  <c r="Q10" i="8" s="1"/>
  <c r="P27" i="3"/>
  <c r="Q20" i="3"/>
  <c r="O32" i="8"/>
  <c r="N27" i="3"/>
  <c r="O20" i="3"/>
  <c r="M32" i="8"/>
  <c r="M10" i="8" s="1"/>
  <c r="M11" i="17" s="1"/>
  <c r="I20" i="3"/>
  <c r="R14" i="3"/>
  <c r="T25" i="10"/>
  <c r="T10" i="10" s="1"/>
  <c r="T30" i="17" s="1"/>
  <c r="T22" i="15"/>
  <c r="T21" i="15"/>
  <c r="T10" i="13"/>
  <c r="L24" i="16"/>
  <c r="L8" i="16" s="1"/>
  <c r="K15" i="13"/>
  <c r="L9" i="13"/>
  <c r="T21" i="2"/>
  <c r="Z20" i="2"/>
  <c r="J20" i="2"/>
  <c r="X18" i="2"/>
  <c r="V18" i="2"/>
  <c r="T18" i="2"/>
  <c r="R18" i="2"/>
  <c r="P18" i="2"/>
  <c r="T12" i="2"/>
  <c r="T10" i="2"/>
  <c r="T9" i="2"/>
  <c r="T11" i="12"/>
  <c r="T9" i="12"/>
  <c r="L8" i="12"/>
  <c r="Y34" i="3"/>
  <c r="Q33" i="8"/>
  <c r="Y33" i="8"/>
  <c r="T8" i="16"/>
  <c r="T26" i="16"/>
  <c r="L26" i="16"/>
  <c r="T10" i="15"/>
  <c r="O10" i="8"/>
  <c r="O11" i="17" s="1"/>
  <c r="O33" i="8"/>
  <c r="S10" i="8"/>
  <c r="S11" i="17" s="1"/>
  <c r="S33" i="8"/>
  <c r="S10" i="15"/>
  <c r="S25" i="10"/>
  <c r="S10" i="10" s="1"/>
  <c r="S30" i="17" s="1"/>
  <c r="R10" i="3"/>
  <c r="S9" i="2"/>
  <c r="T21" i="1"/>
  <c r="T22" i="1" s="1"/>
  <c r="J10" i="8"/>
  <c r="J11" i="17" s="1"/>
  <c r="X16" i="6"/>
  <c r="Z34" i="3"/>
  <c r="W31" i="11"/>
  <c r="V18" i="13" s="1"/>
  <c r="V31" i="11"/>
  <c r="U18" i="13" s="1"/>
  <c r="Y30" i="17"/>
  <c r="G12" i="18"/>
  <c r="E51" i="18"/>
  <c r="Z32" i="8"/>
  <c r="Z33" i="8" s="1"/>
  <c r="K14" i="12"/>
  <c r="G14" i="12"/>
  <c r="G24" i="15" s="1"/>
  <c r="G12" i="15" s="1"/>
  <c r="C14" i="12"/>
  <c r="Z23" i="8"/>
  <c r="X23" i="17"/>
  <c r="T45" i="17"/>
  <c r="T18" i="9"/>
  <c r="T23" i="17"/>
  <c r="Q8" i="6"/>
  <c r="R23" i="17"/>
  <c r="R23" i="8"/>
  <c r="O8" i="6"/>
  <c r="R45" i="17"/>
  <c r="P45" i="17"/>
  <c r="P23" i="8"/>
  <c r="N18" i="9"/>
  <c r="L18" i="9"/>
  <c r="I8" i="6"/>
  <c r="J45" i="17"/>
  <c r="H18" i="9"/>
  <c r="F45" i="17"/>
  <c r="C8" i="6"/>
  <c r="W23" i="3"/>
  <c r="X20" i="2"/>
  <c r="X22" i="2" s="1"/>
  <c r="X24" i="2" s="1"/>
  <c r="W24" i="3" s="1"/>
  <c r="S23" i="3"/>
  <c r="T20" i="2"/>
  <c r="O23" i="3"/>
  <c r="P20" i="2"/>
  <c r="K23" i="3"/>
  <c r="L20" i="2"/>
  <c r="G23" i="3"/>
  <c r="H20" i="2"/>
  <c r="C23" i="3"/>
  <c r="D20" i="2"/>
  <c r="S12" i="2"/>
  <c r="S21" i="2"/>
  <c r="R25" i="3"/>
  <c r="U21" i="1"/>
  <c r="U22" i="1"/>
  <c r="S10" i="3"/>
  <c r="U29" i="11"/>
  <c r="U25" i="16" s="1"/>
  <c r="U13" i="12"/>
  <c r="C24" i="15"/>
  <c r="C12" i="15" s="1"/>
  <c r="C12" i="13"/>
  <c r="O12" i="12"/>
  <c r="O14" i="12"/>
  <c r="O12" i="13" s="1"/>
  <c r="U19" i="11"/>
  <c r="U20" i="11" s="1"/>
  <c r="X23" i="3"/>
  <c r="Y20" i="2"/>
  <c r="T23" i="3"/>
  <c r="U20" i="2"/>
  <c r="P23" i="3"/>
  <c r="Q20" i="2"/>
  <c r="L23" i="3"/>
  <c r="M20" i="2"/>
  <c r="H23" i="3"/>
  <c r="I20" i="2"/>
  <c r="I22" i="2" s="1"/>
  <c r="I24" i="2" s="1"/>
  <c r="D23" i="3"/>
  <c r="E20" i="2"/>
  <c r="X32" i="8"/>
  <c r="W27" i="3"/>
  <c r="Y18" i="2"/>
  <c r="T32" i="8"/>
  <c r="T10" i="8" s="1"/>
  <c r="T11" i="17" s="1"/>
  <c r="U18" i="2"/>
  <c r="U22" i="2" s="1"/>
  <c r="U24" i="2" s="1"/>
  <c r="O27" i="3"/>
  <c r="L32" i="8"/>
  <c r="K27" i="3"/>
  <c r="M18" i="2"/>
  <c r="H32" i="8"/>
  <c r="G27" i="3"/>
  <c r="M20" i="11"/>
  <c r="Y8" i="11"/>
  <c r="Z8" i="11" s="1"/>
  <c r="AA8" i="11" s="1"/>
  <c r="U11" i="12"/>
  <c r="V16" i="16"/>
  <c r="T13" i="12"/>
  <c r="C63" i="13"/>
  <c r="E63" i="13"/>
  <c r="D63" i="13"/>
  <c r="Y101" i="3"/>
  <c r="R31" i="10"/>
  <c r="R15" i="10" s="1"/>
  <c r="P31" i="10"/>
  <c r="P15" i="10" s="1"/>
  <c r="P26" i="15"/>
  <c r="P14" i="15" s="1"/>
  <c r="G14" i="18"/>
  <c r="C11" i="16"/>
  <c r="D15" i="16" s="1"/>
  <c r="S26" i="16"/>
  <c r="Q26" i="16"/>
  <c r="O26" i="16"/>
  <c r="J26" i="16"/>
  <c r="H26" i="16"/>
  <c r="F26" i="16"/>
  <c r="K24" i="15"/>
  <c r="K12" i="15" s="1"/>
  <c r="K12" i="13"/>
  <c r="Y22" i="2"/>
  <c r="Y24" i="2" s="1"/>
  <c r="X24" i="3" s="1"/>
  <c r="G13" i="3"/>
  <c r="H10" i="8"/>
  <c r="H11" i="17" s="1"/>
  <c r="X10" i="8"/>
  <c r="X11" i="17" s="1"/>
  <c r="U21" i="15"/>
  <c r="U10" i="15" s="1"/>
  <c r="U10" i="13"/>
  <c r="V10" i="13"/>
  <c r="U9" i="12"/>
  <c r="Y7" i="11"/>
  <c r="L10" i="8"/>
  <c r="L11" i="17" s="1"/>
  <c r="T33" i="8"/>
  <c r="U9" i="13"/>
  <c r="U24" i="16"/>
  <c r="T15" i="13"/>
  <c r="U8" i="12"/>
  <c r="V13" i="12"/>
  <c r="V13" i="13"/>
  <c r="U13" i="13"/>
  <c r="O24" i="15"/>
  <c r="O12" i="15" s="1"/>
  <c r="W13" i="12"/>
  <c r="Y6" i="11"/>
  <c r="Z6" i="11" s="1"/>
  <c r="V21" i="15"/>
  <c r="V10" i="15" s="1"/>
  <c r="AB30" i="17" s="1"/>
  <c r="D7" i="18" s="1"/>
  <c r="V9" i="12"/>
  <c r="X16" i="11"/>
  <c r="W13" i="13" s="1"/>
  <c r="U8" i="16"/>
  <c r="K18" i="25" l="1"/>
  <c r="K27" i="25" s="1"/>
  <c r="AK25" i="25"/>
  <c r="AK30" i="25" s="1"/>
  <c r="AL13" i="25" s="1"/>
  <c r="AL25" i="25" s="1"/>
  <c r="AL30" i="25" s="1"/>
  <c r="AM13" i="25" s="1"/>
  <c r="O13" i="3"/>
  <c r="P26" i="2"/>
  <c r="K13" i="3"/>
  <c r="L26" i="2"/>
  <c r="F24" i="15"/>
  <c r="F12" i="15" s="1"/>
  <c r="F12" i="13"/>
  <c r="U37" i="8"/>
  <c r="U13" i="8" s="1"/>
  <c r="D13" i="19"/>
  <c r="E13" i="19" s="1"/>
  <c r="Q8" i="17"/>
  <c r="I12" i="13"/>
  <c r="I24" i="15"/>
  <c r="I12" i="15" s="1"/>
  <c r="R24" i="15"/>
  <c r="R12" i="15" s="1"/>
  <c r="R12" i="13"/>
  <c r="P12" i="13"/>
  <c r="P24" i="15"/>
  <c r="P12" i="15" s="1"/>
  <c r="Q12" i="13"/>
  <c r="Q14" i="13" s="1"/>
  <c r="Q16" i="13" s="1"/>
  <c r="Q19" i="13" s="1"/>
  <c r="Q24" i="15"/>
  <c r="Q12" i="15" s="1"/>
  <c r="M24" i="15"/>
  <c r="M12" i="15" s="1"/>
  <c r="M12" i="13"/>
  <c r="D14" i="12"/>
  <c r="D12" i="13" s="1"/>
  <c r="D14" i="13" s="1"/>
  <c r="D16" i="13" s="1"/>
  <c r="L33" i="8"/>
  <c r="X33" i="8"/>
  <c r="E22" i="2"/>
  <c r="E24" i="2" s="1"/>
  <c r="D22" i="2"/>
  <c r="D24" i="2" s="1"/>
  <c r="D27" i="2" s="1"/>
  <c r="AA18" i="2"/>
  <c r="P22" i="2"/>
  <c r="P24" i="2" s="1"/>
  <c r="N20" i="2"/>
  <c r="G18" i="9"/>
  <c r="K45" i="17"/>
  <c r="O18" i="9"/>
  <c r="Q21" i="2"/>
  <c r="V13" i="2"/>
  <c r="V15" i="2" s="1"/>
  <c r="V26" i="2" s="1"/>
  <c r="R13" i="2"/>
  <c r="R15" i="2" s="1"/>
  <c r="N13" i="2"/>
  <c r="N15" i="2" s="1"/>
  <c r="J13" i="2"/>
  <c r="J15" i="2" s="1"/>
  <c r="F13" i="2"/>
  <c r="F15" i="2" s="1"/>
  <c r="F26" i="2" s="1"/>
  <c r="F29" i="2" s="1"/>
  <c r="F28" i="10" s="1"/>
  <c r="F12" i="10" s="1"/>
  <c r="F32" i="17" s="1"/>
  <c r="D33" i="8"/>
  <c r="P26" i="16"/>
  <c r="S22" i="2"/>
  <c r="S24" i="2" s="1"/>
  <c r="X13" i="12"/>
  <c r="D26" i="16"/>
  <c r="M26" i="16"/>
  <c r="G94" i="3"/>
  <c r="G12" i="13"/>
  <c r="Z20" i="3"/>
  <c r="N33" i="8"/>
  <c r="R20" i="2"/>
  <c r="R22" i="2" s="1"/>
  <c r="Q11" i="17"/>
  <c r="G23" i="8"/>
  <c r="H8" i="6"/>
  <c r="K23" i="17"/>
  <c r="O23" i="8"/>
  <c r="S23" i="17"/>
  <c r="Q12" i="2"/>
  <c r="R21" i="1"/>
  <c r="R22" i="1" s="1"/>
  <c r="R30" i="17"/>
  <c r="N30" i="17"/>
  <c r="C33" i="8"/>
  <c r="G11" i="18"/>
  <c r="D94" i="3"/>
  <c r="H33" i="8"/>
  <c r="AD32" i="8"/>
  <c r="AD10" i="8" s="1"/>
  <c r="J33" i="8"/>
  <c r="L12" i="12"/>
  <c r="L14" i="12" s="1"/>
  <c r="L24" i="15" s="1"/>
  <c r="L12" i="15" s="1"/>
  <c r="T13" i="2"/>
  <c r="T15" i="2" s="1"/>
  <c r="F20" i="2"/>
  <c r="F22" i="2" s="1"/>
  <c r="F24" i="2" s="1"/>
  <c r="E24" i="3" s="1"/>
  <c r="E26" i="3" s="1"/>
  <c r="E28" i="3" s="1"/>
  <c r="E32" i="3" s="1"/>
  <c r="V20" i="2"/>
  <c r="V22" i="2" s="1"/>
  <c r="V24" i="2" s="1"/>
  <c r="J27" i="3"/>
  <c r="Y11" i="17"/>
  <c r="S12" i="12"/>
  <c r="S14" i="12" s="1"/>
  <c r="K22" i="2"/>
  <c r="K24" i="2" s="1"/>
  <c r="J24" i="3" s="1"/>
  <c r="D45" i="17"/>
  <c r="W13" i="2"/>
  <c r="W15" i="2" s="1"/>
  <c r="Q13" i="2"/>
  <c r="Q15" i="2" s="1"/>
  <c r="X13" i="2"/>
  <c r="X15" i="2" s="1"/>
  <c r="D13" i="2"/>
  <c r="D15" i="2" s="1"/>
  <c r="D26" i="2" s="1"/>
  <c r="D29" i="2" s="1"/>
  <c r="D28" i="10" s="1"/>
  <c r="D12" i="10" s="1"/>
  <c r="D32" i="17" s="1"/>
  <c r="H14" i="12"/>
  <c r="G30" i="18"/>
  <c r="G25" i="18"/>
  <c r="H25" i="18" s="1"/>
  <c r="R24" i="9"/>
  <c r="S27" i="9" s="1"/>
  <c r="C12" i="6"/>
  <c r="C15" i="6" s="1"/>
  <c r="D70" i="13"/>
  <c r="G63" i="13"/>
  <c r="H70" i="13"/>
  <c r="H63" i="13"/>
  <c r="D55" i="13"/>
  <c r="F63" i="13"/>
  <c r="AB36" i="17"/>
  <c r="D13" i="18" s="1"/>
  <c r="M70" i="13"/>
  <c r="R33" i="17"/>
  <c r="J101" i="3"/>
  <c r="AC23" i="8"/>
  <c r="AA6" i="11"/>
  <c r="Z13" i="12" s="1"/>
  <c r="Y13" i="12"/>
  <c r="T12" i="6"/>
  <c r="T15" i="6" s="1"/>
  <c r="T17" i="6" s="1"/>
  <c r="AB37" i="6" s="1"/>
  <c r="I12" i="6"/>
  <c r="I15" i="6" s="1"/>
  <c r="I17" i="6" s="1"/>
  <c r="E12" i="6"/>
  <c r="E15" i="6" s="1"/>
  <c r="E17" i="6" s="1"/>
  <c r="Q12" i="6"/>
  <c r="Q15" i="6" s="1"/>
  <c r="Q17" i="6" s="1"/>
  <c r="J12" i="6"/>
  <c r="J15" i="6" s="1"/>
  <c r="J17" i="6" s="1"/>
  <c r="L27" i="6" s="1"/>
  <c r="T26" i="15"/>
  <c r="T14" i="15" s="1"/>
  <c r="Z36" i="17" s="1"/>
  <c r="S70" i="13"/>
  <c r="E70" i="13"/>
  <c r="C26" i="15"/>
  <c r="C14" i="15" s="1"/>
  <c r="Z62" i="13"/>
  <c r="K14" i="13"/>
  <c r="K16" i="13" s="1"/>
  <c r="K69" i="13" s="1"/>
  <c r="I14" i="13"/>
  <c r="I16" i="13" s="1"/>
  <c r="I69" i="13" s="1"/>
  <c r="E14" i="13"/>
  <c r="E16" i="13" s="1"/>
  <c r="E69" i="13" s="1"/>
  <c r="AD33" i="17"/>
  <c r="W33" i="17"/>
  <c r="W62" i="13"/>
  <c r="I70" i="13"/>
  <c r="AA33" i="17"/>
  <c r="E10" i="18" s="1"/>
  <c r="O14" i="13"/>
  <c r="O16" i="13" s="1"/>
  <c r="O19" i="13" s="1"/>
  <c r="L70" i="13"/>
  <c r="O70" i="13"/>
  <c r="AA36" i="17"/>
  <c r="E13" i="18" s="1"/>
  <c r="S33" i="17"/>
  <c r="O33" i="17"/>
  <c r="Z55" i="13"/>
  <c r="Z63" i="13"/>
  <c r="S93" i="3"/>
  <c r="D93" i="3"/>
  <c r="P101" i="3"/>
  <c r="AE93" i="3"/>
  <c r="J26" i="3"/>
  <c r="H101" i="3"/>
  <c r="R36" i="17"/>
  <c r="K101" i="3"/>
  <c r="N101" i="3"/>
  <c r="AA93" i="3"/>
  <c r="AD86" i="3"/>
  <c r="R24" i="3"/>
  <c r="S27" i="2"/>
  <c r="H27" i="2"/>
  <c r="H29" i="2" s="1"/>
  <c r="H28" i="10" s="1"/>
  <c r="H12" i="10" s="1"/>
  <c r="H32" i="17" s="1"/>
  <c r="T26" i="2"/>
  <c r="S13" i="3"/>
  <c r="S15" i="3" s="1"/>
  <c r="S17" i="3" s="1"/>
  <c r="S31" i="3" s="1"/>
  <c r="F27" i="2"/>
  <c r="I27" i="2"/>
  <c r="H24" i="3"/>
  <c r="H26" i="3" s="1"/>
  <c r="C24" i="3"/>
  <c r="C26" i="3" s="1"/>
  <c r="C28" i="3" s="1"/>
  <c r="C32" i="3" s="1"/>
  <c r="X27" i="2"/>
  <c r="U27" i="2"/>
  <c r="T24" i="3"/>
  <c r="K27" i="2"/>
  <c r="V13" i="3"/>
  <c r="W26" i="2"/>
  <c r="K24" i="3"/>
  <c r="L27" i="2"/>
  <c r="M13" i="3"/>
  <c r="N26" i="2"/>
  <c r="E13" i="3"/>
  <c r="E15" i="3" s="1"/>
  <c r="E17" i="3" s="1"/>
  <c r="E31" i="3" s="1"/>
  <c r="V27" i="6"/>
  <c r="S8" i="6"/>
  <c r="S12" i="6" s="1"/>
  <c r="S15" i="6" s="1"/>
  <c r="S17" i="6" s="1"/>
  <c r="V33" i="8"/>
  <c r="P8" i="6"/>
  <c r="AE37" i="6"/>
  <c r="AH37" i="6"/>
  <c r="Q27" i="3"/>
  <c r="Y8" i="6"/>
  <c r="Y12" i="6" s="1"/>
  <c r="Y15" i="6" s="1"/>
  <c r="AB18" i="9"/>
  <c r="U8" i="6"/>
  <c r="U12" i="6" s="1"/>
  <c r="U15" i="6" s="1"/>
  <c r="U17" i="6" s="1"/>
  <c r="X23" i="8"/>
  <c r="X18" i="9"/>
  <c r="Q23" i="17"/>
  <c r="N8" i="6"/>
  <c r="N12" i="6" s="1"/>
  <c r="N15" i="6" s="1"/>
  <c r="Q23" i="8"/>
  <c r="L27" i="3"/>
  <c r="N18" i="2"/>
  <c r="N22" i="2" s="1"/>
  <c r="N24" i="2" s="1"/>
  <c r="J18" i="2"/>
  <c r="J22" i="2" s="1"/>
  <c r="J24" i="2" s="1"/>
  <c r="H27" i="3"/>
  <c r="M13" i="2"/>
  <c r="M15" i="2" s="1"/>
  <c r="I13" i="2"/>
  <c r="I15" i="2" s="1"/>
  <c r="E13" i="2"/>
  <c r="E15" i="2" s="1"/>
  <c r="AB93" i="3"/>
  <c r="P12" i="6"/>
  <c r="P15" i="6" s="1"/>
  <c r="P17" i="6" s="1"/>
  <c r="U33" i="6" s="1"/>
  <c r="E10" i="8"/>
  <c r="E11" i="17" s="1"/>
  <c r="E33" i="8"/>
  <c r="K93" i="3"/>
  <c r="S101" i="3"/>
  <c r="P32" i="8"/>
  <c r="S13" i="2"/>
  <c r="S15" i="2" s="1"/>
  <c r="R13" i="3" s="1"/>
  <c r="R15" i="3" s="1"/>
  <c r="R17" i="3" s="1"/>
  <c r="R31" i="3" s="1"/>
  <c r="AB23" i="8"/>
  <c r="C53" i="18" s="1"/>
  <c r="C61" i="18" s="1"/>
  <c r="U33" i="8"/>
  <c r="T22" i="2"/>
  <c r="T24" i="2" s="1"/>
  <c r="I32" i="8"/>
  <c r="T20" i="3"/>
  <c r="T26" i="3" s="1"/>
  <c r="T28" i="3" s="1"/>
  <c r="T32" i="3" s="1"/>
  <c r="M8" i="6"/>
  <c r="M12" i="6" s="1"/>
  <c r="M15" i="6" s="1"/>
  <c r="M17" i="6" s="1"/>
  <c r="R30" i="6" s="1"/>
  <c r="P18" i="9"/>
  <c r="L45" i="17"/>
  <c r="L23" i="17"/>
  <c r="H23" i="17"/>
  <c r="H45" i="17"/>
  <c r="H23" i="8"/>
  <c r="V23" i="3"/>
  <c r="W20" i="2"/>
  <c r="N23" i="3"/>
  <c r="O20" i="2"/>
  <c r="O22" i="2" s="1"/>
  <c r="O24" i="2" s="1"/>
  <c r="O27" i="2" s="1"/>
  <c r="F23" i="3"/>
  <c r="G20" i="2"/>
  <c r="G22" i="2" s="1"/>
  <c r="G24" i="2" s="1"/>
  <c r="C22" i="2"/>
  <c r="C24" i="2" s="1"/>
  <c r="C27" i="2" s="1"/>
  <c r="W32" i="8"/>
  <c r="W20" i="3"/>
  <c r="W26" i="3" s="1"/>
  <c r="W28" i="3" s="1"/>
  <c r="W32" i="3" s="1"/>
  <c r="W22" i="2"/>
  <c r="W24" i="2" s="1"/>
  <c r="W27" i="2" s="1"/>
  <c r="W29" i="2" s="1"/>
  <c r="W28" i="10" s="1"/>
  <c r="W12" i="10" s="1"/>
  <c r="W32" i="17" s="1"/>
  <c r="V45" i="17"/>
  <c r="V18" i="9"/>
  <c r="V23" i="8"/>
  <c r="S45" i="17"/>
  <c r="S18" i="9"/>
  <c r="U27" i="3"/>
  <c r="V20" i="3"/>
  <c r="R20" i="3"/>
  <c r="R32" i="8"/>
  <c r="K20" i="3"/>
  <c r="K32" i="8"/>
  <c r="G32" i="8"/>
  <c r="G20" i="3"/>
  <c r="G26" i="3" s="1"/>
  <c r="G28" i="3" s="1"/>
  <c r="G32" i="3" s="1"/>
  <c r="C15" i="2"/>
  <c r="C26" i="2" s="1"/>
  <c r="Y13" i="2"/>
  <c r="Y15" i="2" s="1"/>
  <c r="U13" i="2"/>
  <c r="U15" i="2" s="1"/>
  <c r="O13" i="2"/>
  <c r="O15" i="2" s="1"/>
  <c r="K13" i="2"/>
  <c r="K15" i="2" s="1"/>
  <c r="G13" i="2"/>
  <c r="G15" i="2" s="1"/>
  <c r="I101" i="3"/>
  <c r="W101" i="3"/>
  <c r="M22" i="2"/>
  <c r="M24" i="2" s="1"/>
  <c r="Q18" i="2"/>
  <c r="Q22" i="2" s="1"/>
  <c r="Q24" i="2" s="1"/>
  <c r="X45" i="17"/>
  <c r="M33" i="8"/>
  <c r="R24" i="2"/>
  <c r="F27" i="3"/>
  <c r="M20" i="3"/>
  <c r="Q45" i="17"/>
  <c r="N45" i="17"/>
  <c r="N23" i="17"/>
  <c r="K8" i="6"/>
  <c r="J23" i="17"/>
  <c r="J18" i="9"/>
  <c r="G8" i="6"/>
  <c r="G12" i="6" s="1"/>
  <c r="G15" i="6" s="1"/>
  <c r="X27" i="3"/>
  <c r="Z18" i="2"/>
  <c r="Z22" i="2" s="1"/>
  <c r="Z24" i="2" s="1"/>
  <c r="C36" i="8"/>
  <c r="D7" i="9" s="1"/>
  <c r="Z30" i="17"/>
  <c r="K12" i="6"/>
  <c r="K15" i="6" s="1"/>
  <c r="K17" i="6" s="1"/>
  <c r="Q28" i="6" s="1"/>
  <c r="H12" i="6"/>
  <c r="H15" i="6" s="1"/>
  <c r="H17" i="6" s="1"/>
  <c r="H25" i="6" s="1"/>
  <c r="V12" i="6"/>
  <c r="V15" i="6" s="1"/>
  <c r="V17" i="6" s="1"/>
  <c r="W39" i="6" s="1"/>
  <c r="G24" i="18"/>
  <c r="H24" i="18" s="1"/>
  <c r="X13" i="11"/>
  <c r="W10" i="13" s="1"/>
  <c r="Z8" i="6"/>
  <c r="Z12" i="6" s="1"/>
  <c r="Z15" i="6" s="1"/>
  <c r="AA23" i="3"/>
  <c r="AA27" i="3"/>
  <c r="Q33" i="6"/>
  <c r="W37" i="6"/>
  <c r="O12" i="6"/>
  <c r="O15" i="6" s="1"/>
  <c r="O17" i="6" s="1"/>
  <c r="P32" i="6" s="1"/>
  <c r="D12" i="6"/>
  <c r="D15" i="6" s="1"/>
  <c r="D17" i="6" s="1"/>
  <c r="O27" i="6"/>
  <c r="J25" i="6"/>
  <c r="F12" i="6"/>
  <c r="F15" i="6" s="1"/>
  <c r="F17" i="6" s="1"/>
  <c r="R23" i="6" s="1"/>
  <c r="L12" i="6"/>
  <c r="L15" i="6" s="1"/>
  <c r="P28" i="6"/>
  <c r="C50" i="6"/>
  <c r="C17" i="6"/>
  <c r="V30" i="6"/>
  <c r="S30" i="6"/>
  <c r="O30" i="6"/>
  <c r="T30" i="6"/>
  <c r="Q30" i="6"/>
  <c r="W30" i="6"/>
  <c r="M27" i="6"/>
  <c r="W33" i="6"/>
  <c r="Z37" i="6"/>
  <c r="K27" i="6"/>
  <c r="I25" i="6"/>
  <c r="AF37" i="6"/>
  <c r="T27" i="6"/>
  <c r="Q27" i="6"/>
  <c r="R12" i="6"/>
  <c r="R15" i="6" s="1"/>
  <c r="L62" i="13"/>
  <c r="E62" i="13"/>
  <c r="N70" i="13"/>
  <c r="R26" i="15"/>
  <c r="R14" i="15" s="1"/>
  <c r="X36" i="17" s="1"/>
  <c r="C70" i="13"/>
  <c r="D62" i="13"/>
  <c r="AD36" i="17"/>
  <c r="O62" i="13"/>
  <c r="J14" i="13"/>
  <c r="J16" i="13" s="1"/>
  <c r="J69" i="13" s="1"/>
  <c r="M14" i="13"/>
  <c r="M16" i="13" s="1"/>
  <c r="M69" i="13" s="1"/>
  <c r="Z33" i="17"/>
  <c r="N33" i="17"/>
  <c r="J70" i="13"/>
  <c r="G14" i="13"/>
  <c r="G16" i="13" s="1"/>
  <c r="G69" i="13" s="1"/>
  <c r="K70" i="13"/>
  <c r="C62" i="13"/>
  <c r="V33" i="17"/>
  <c r="Q26" i="15"/>
  <c r="Q14" i="15" s="1"/>
  <c r="W36" i="17" s="1"/>
  <c r="Q70" i="13"/>
  <c r="F62" i="13"/>
  <c r="N62" i="13"/>
  <c r="X62" i="13"/>
  <c r="I62" i="13"/>
  <c r="Q62" i="13"/>
  <c r="J62" i="13"/>
  <c r="R62" i="13"/>
  <c r="F26" i="15"/>
  <c r="F14" i="15" s="1"/>
  <c r="L36" i="17" s="1"/>
  <c r="M62" i="13"/>
  <c r="U62" i="13"/>
  <c r="G62" i="13"/>
  <c r="J19" i="13"/>
  <c r="T62" i="13"/>
  <c r="H55" i="13"/>
  <c r="S36" i="17"/>
  <c r="M33" i="17"/>
  <c r="R14" i="13"/>
  <c r="R16" i="13" s="1"/>
  <c r="R69" i="13" s="1"/>
  <c r="S62" i="13"/>
  <c r="K62" i="13"/>
  <c r="C14" i="13"/>
  <c r="C16" i="13" s="1"/>
  <c r="G70" i="13"/>
  <c r="P62" i="13"/>
  <c r="H62" i="13"/>
  <c r="AC36" i="17"/>
  <c r="Y33" i="17"/>
  <c r="P14" i="13"/>
  <c r="P16" i="13" s="1"/>
  <c r="F14" i="13"/>
  <c r="F16" i="13" s="1"/>
  <c r="U33" i="17"/>
  <c r="X28" i="11"/>
  <c r="Y28" i="11" s="1"/>
  <c r="X27" i="11"/>
  <c r="Y27" i="11" s="1"/>
  <c r="Y16" i="11"/>
  <c r="V11" i="12"/>
  <c r="AD18" i="9"/>
  <c r="AD40" i="1"/>
  <c r="X31" i="11" s="1"/>
  <c r="W18" i="13" s="1"/>
  <c r="AA34" i="3"/>
  <c r="AC20" i="2"/>
  <c r="AC20" i="3"/>
  <c r="AC18" i="2"/>
  <c r="AA13" i="2"/>
  <c r="AA15" i="2" s="1"/>
  <c r="Z13" i="3" s="1"/>
  <c r="Z15" i="3" s="1"/>
  <c r="Z17" i="3" s="1"/>
  <c r="Z31" i="3" s="1"/>
  <c r="AC32" i="8"/>
  <c r="AA20" i="3"/>
  <c r="G29" i="18"/>
  <c r="H29" i="18" s="1"/>
  <c r="W11" i="12"/>
  <c r="V19" i="11"/>
  <c r="V20" i="11" s="1"/>
  <c r="T12" i="12"/>
  <c r="T14" i="12" s="1"/>
  <c r="T12" i="13" s="1"/>
  <c r="T14" i="13" s="1"/>
  <c r="T16" i="13" s="1"/>
  <c r="U12" i="12"/>
  <c r="U14" i="12" s="1"/>
  <c r="T24" i="15"/>
  <c r="T12" i="15" s="1"/>
  <c r="AA30" i="17"/>
  <c r="E7" i="18" s="1"/>
  <c r="U9" i="16"/>
  <c r="U26" i="16"/>
  <c r="W8" i="6"/>
  <c r="W12" i="6" s="1"/>
  <c r="W15" i="6" s="1"/>
  <c r="AA23" i="17"/>
  <c r="AE18" i="9"/>
  <c r="AE23" i="8"/>
  <c r="AB8" i="6"/>
  <c r="AB12" i="6" s="1"/>
  <c r="AB15" i="6" s="1"/>
  <c r="AA45" i="17"/>
  <c r="Z23" i="17"/>
  <c r="AA8" i="6"/>
  <c r="AA12" i="6" s="1"/>
  <c r="AA15" i="6" s="1"/>
  <c r="X8" i="6"/>
  <c r="X12" i="6" s="1"/>
  <c r="X15" i="6" s="1"/>
  <c r="Z18" i="9"/>
  <c r="Y16" i="6"/>
  <c r="AA20" i="2"/>
  <c r="AA22" i="2" s="1"/>
  <c r="AA24" i="2" s="1"/>
  <c r="Z24" i="3" s="1"/>
  <c r="Z26" i="3" s="1"/>
  <c r="Z10" i="8"/>
  <c r="Z27" i="3"/>
  <c r="AB27" i="3"/>
  <c r="AA10" i="8"/>
  <c r="AA33" i="8"/>
  <c r="AD33" i="8"/>
  <c r="AB32" i="8"/>
  <c r="AB18" i="2"/>
  <c r="AB22" i="2" s="1"/>
  <c r="AB24" i="2" s="1"/>
  <c r="AD27" i="3"/>
  <c r="AE32" i="8"/>
  <c r="Z13" i="2"/>
  <c r="Z15" i="2" s="1"/>
  <c r="Z26" i="2" s="1"/>
  <c r="AB13" i="2"/>
  <c r="AB15" i="2" s="1"/>
  <c r="AB26" i="2" s="1"/>
  <c r="AC13" i="2"/>
  <c r="AC15" i="2" s="1"/>
  <c r="AC26" i="2" s="1"/>
  <c r="AE13" i="2"/>
  <c r="AE15" i="2" s="1"/>
  <c r="AE26" i="2" s="1"/>
  <c r="Y13" i="3"/>
  <c r="Y15" i="3" s="1"/>
  <c r="Y17" i="3" s="1"/>
  <c r="Y31" i="3" s="1"/>
  <c r="AA13" i="3"/>
  <c r="AA15" i="3" s="1"/>
  <c r="AA17" i="3" s="1"/>
  <c r="AA31" i="3" s="1"/>
  <c r="AD13" i="2"/>
  <c r="AD15" i="2" s="1"/>
  <c r="AC33" i="17"/>
  <c r="Y36" i="17"/>
  <c r="O36" i="17"/>
  <c r="K36" i="17"/>
  <c r="I55" i="13"/>
  <c r="K63" i="13"/>
  <c r="O63" i="13"/>
  <c r="S63" i="13"/>
  <c r="W63" i="13"/>
  <c r="P63" i="13"/>
  <c r="X63" i="13"/>
  <c r="N63" i="13"/>
  <c r="R63" i="13"/>
  <c r="I63" i="13"/>
  <c r="M63" i="13"/>
  <c r="Q63" i="13"/>
  <c r="U63" i="13"/>
  <c r="L63" i="13"/>
  <c r="T63" i="13"/>
  <c r="V62" i="13"/>
  <c r="AB33" i="17"/>
  <c r="D10" i="18" s="1"/>
  <c r="X33" i="17"/>
  <c r="T33" i="17"/>
  <c r="P33" i="17"/>
  <c r="L33" i="17"/>
  <c r="P36" i="17"/>
  <c r="T36" i="17"/>
  <c r="U36" i="17"/>
  <c r="Q36" i="17"/>
  <c r="M36" i="17"/>
  <c r="J63" i="13"/>
  <c r="Y62" i="13"/>
  <c r="V63" i="13"/>
  <c r="Y63" i="13"/>
  <c r="E94" i="3"/>
  <c r="L93" i="3"/>
  <c r="K15" i="3"/>
  <c r="K17" i="3" s="1"/>
  <c r="K31" i="3" s="1"/>
  <c r="G15" i="3"/>
  <c r="G17" i="3" s="1"/>
  <c r="G31" i="3" s="1"/>
  <c r="X26" i="3"/>
  <c r="W93" i="3"/>
  <c r="O93" i="3"/>
  <c r="G93" i="3"/>
  <c r="F31" i="10"/>
  <c r="F15" i="10" s="1"/>
  <c r="F36" i="17" s="1"/>
  <c r="F94" i="3"/>
  <c r="O15" i="3"/>
  <c r="O17" i="3" s="1"/>
  <c r="O31" i="3" s="1"/>
  <c r="R101" i="3"/>
  <c r="H94" i="3"/>
  <c r="X101" i="3"/>
  <c r="T93" i="3"/>
  <c r="H31" i="10"/>
  <c r="H15" i="10" s="1"/>
  <c r="H36" i="17" s="1"/>
  <c r="G101" i="3"/>
  <c r="C15" i="10"/>
  <c r="H86" i="3"/>
  <c r="T101" i="3"/>
  <c r="L101" i="3"/>
  <c r="X93" i="3"/>
  <c r="P93" i="3"/>
  <c r="H93" i="3"/>
  <c r="V31" i="10"/>
  <c r="V15" i="10" s="1"/>
  <c r="V36" i="17" s="1"/>
  <c r="U101" i="3"/>
  <c r="N31" i="10"/>
  <c r="N15" i="10" s="1"/>
  <c r="N36" i="17" s="1"/>
  <c r="M101" i="3"/>
  <c r="G31" i="10"/>
  <c r="G15" i="10" s="1"/>
  <c r="G36" i="17" s="1"/>
  <c r="F101" i="3"/>
  <c r="F93" i="3"/>
  <c r="J93" i="3"/>
  <c r="N93" i="3"/>
  <c r="R93" i="3"/>
  <c r="V93" i="3"/>
  <c r="Z93" i="3"/>
  <c r="E31" i="10"/>
  <c r="E15" i="10" s="1"/>
  <c r="E36" i="17" s="1"/>
  <c r="E93" i="3"/>
  <c r="I93" i="3"/>
  <c r="M93" i="3"/>
  <c r="Q93" i="3"/>
  <c r="U93" i="3"/>
  <c r="Y93" i="3"/>
  <c r="AC93" i="3"/>
  <c r="V15" i="3"/>
  <c r="V17" i="3" s="1"/>
  <c r="V31" i="3" s="1"/>
  <c r="M15" i="3"/>
  <c r="M17" i="3" s="1"/>
  <c r="M31" i="3" s="1"/>
  <c r="L29" i="4"/>
  <c r="M35" i="4"/>
  <c r="R75" i="3"/>
  <c r="Z7" i="11"/>
  <c r="AA7" i="11" s="1"/>
  <c r="Y27" i="2"/>
  <c r="S26" i="2"/>
  <c r="S29" i="2" s="1"/>
  <c r="S28" i="10" s="1"/>
  <c r="S12" i="10" s="1"/>
  <c r="S32" i="17" s="1"/>
  <c r="N12" i="13"/>
  <c r="N14" i="13" s="1"/>
  <c r="N16" i="13" s="1"/>
  <c r="N24" i="15"/>
  <c r="N12" i="15" s="1"/>
  <c r="L12" i="13"/>
  <c r="L14" i="13" s="1"/>
  <c r="L16" i="13" s="1"/>
  <c r="I24" i="3"/>
  <c r="I26" i="3" s="1"/>
  <c r="I28" i="3" s="1"/>
  <c r="I32" i="3" s="1"/>
  <c r="J27" i="2"/>
  <c r="N24" i="3"/>
  <c r="D24" i="15"/>
  <c r="D12" i="15" s="1"/>
  <c r="L17" i="6"/>
  <c r="L29" i="6" s="1"/>
  <c r="AT29" i="6" s="1"/>
  <c r="AU29" i="6" s="1"/>
  <c r="P13" i="3"/>
  <c r="P15" i="3" s="1"/>
  <c r="P17" i="3" s="1"/>
  <c r="P31" i="3" s="1"/>
  <c r="Q26" i="2"/>
  <c r="V24" i="3"/>
  <c r="H24" i="15"/>
  <c r="H12" i="15" s="1"/>
  <c r="H12" i="13"/>
  <c r="H14" i="13" s="1"/>
  <c r="H16" i="13" s="1"/>
  <c r="AD22" i="2"/>
  <c r="AD24" i="2" s="1"/>
  <c r="AD93" i="3"/>
  <c r="AC23" i="3"/>
  <c r="AE18" i="2"/>
  <c r="AD20" i="3"/>
  <c r="AE20" i="2"/>
  <c r="F33" i="8"/>
  <c r="R26" i="16"/>
  <c r="N26" i="16"/>
  <c r="I26" i="16"/>
  <c r="E26" i="16"/>
  <c r="AC86" i="3"/>
  <c r="K32" i="25" l="1"/>
  <c r="K41" i="25" s="1"/>
  <c r="L15" i="25"/>
  <c r="K42" i="25"/>
  <c r="K36" i="25"/>
  <c r="K49" i="25"/>
  <c r="K48" i="25"/>
  <c r="K50" i="25" s="1"/>
  <c r="K51" i="25" s="1"/>
  <c r="K52" i="25" s="1"/>
  <c r="K33" i="25" s="1"/>
  <c r="AM25" i="25"/>
  <c r="AM30" i="25" s="1"/>
  <c r="C13" i="3"/>
  <c r="C15" i="3" s="1"/>
  <c r="C17" i="3" s="1"/>
  <c r="C31" i="3" s="1"/>
  <c r="V37" i="8"/>
  <c r="V13" i="8" s="1"/>
  <c r="W13" i="3"/>
  <c r="W15" i="3" s="1"/>
  <c r="W17" i="3" s="1"/>
  <c r="W31" i="3" s="1"/>
  <c r="X26" i="2"/>
  <c r="U24" i="3"/>
  <c r="U26" i="3" s="1"/>
  <c r="U28" i="3" s="1"/>
  <c r="U32" i="3" s="1"/>
  <c r="V27" i="2"/>
  <c r="V29" i="2" s="1"/>
  <c r="V28" i="10" s="1"/>
  <c r="V12" i="10" s="1"/>
  <c r="V32" i="17" s="1"/>
  <c r="I13" i="3"/>
  <c r="I15" i="3" s="1"/>
  <c r="I17" i="3" s="1"/>
  <c r="I31" i="3" s="1"/>
  <c r="J26" i="2"/>
  <c r="D24" i="3"/>
  <c r="D26" i="3" s="1"/>
  <c r="D28" i="3" s="1"/>
  <c r="D32" i="3" s="1"/>
  <c r="E27" i="2"/>
  <c r="K26" i="3"/>
  <c r="K28" i="3" s="1"/>
  <c r="K32" i="3" s="1"/>
  <c r="K33" i="3" s="1"/>
  <c r="K100" i="3" s="1"/>
  <c r="G19" i="13"/>
  <c r="X29" i="2"/>
  <c r="X28" i="10" s="1"/>
  <c r="X12" i="10" s="1"/>
  <c r="X32" i="17" s="1"/>
  <c r="U13" i="3"/>
  <c r="U15" i="3" s="1"/>
  <c r="U17" i="3" s="1"/>
  <c r="U31" i="3" s="1"/>
  <c r="S24" i="15"/>
  <c r="S12" i="15" s="1"/>
  <c r="S12" i="13"/>
  <c r="S14" i="13" s="1"/>
  <c r="S16" i="13" s="1"/>
  <c r="S19" i="13" s="1"/>
  <c r="AB40" i="13" s="1"/>
  <c r="W36" i="14" s="1"/>
  <c r="O24" i="3"/>
  <c r="O26" i="3" s="1"/>
  <c r="O28" i="3" s="1"/>
  <c r="O32" i="3" s="1"/>
  <c r="P27" i="2"/>
  <c r="P29" i="2" s="1"/>
  <c r="P28" i="10" s="1"/>
  <c r="P12" i="10" s="1"/>
  <c r="P32" i="17" s="1"/>
  <c r="W33" i="3"/>
  <c r="W100" i="3" s="1"/>
  <c r="J29" i="2"/>
  <c r="J28" i="10" s="1"/>
  <c r="J12" i="10" s="1"/>
  <c r="J32" i="17" s="1"/>
  <c r="M19" i="13"/>
  <c r="N25" i="6"/>
  <c r="R25" i="6"/>
  <c r="L29" i="2"/>
  <c r="L28" i="10" s="1"/>
  <c r="L12" i="10" s="1"/>
  <c r="L32" i="17" s="1"/>
  <c r="J28" i="3"/>
  <c r="J32" i="3" s="1"/>
  <c r="R26" i="2"/>
  <c r="Q13" i="3"/>
  <c r="Q15" i="3" s="1"/>
  <c r="Q17" i="3" s="1"/>
  <c r="Q31" i="3" s="1"/>
  <c r="V26" i="6"/>
  <c r="K26" i="6"/>
  <c r="O26" i="6"/>
  <c r="N23" i="6"/>
  <c r="M25" i="6"/>
  <c r="U37" i="6"/>
  <c r="Y37" i="6"/>
  <c r="P27" i="6"/>
  <c r="M26" i="6"/>
  <c r="S26" i="6"/>
  <c r="AG37" i="6"/>
  <c r="V37" i="6"/>
  <c r="N27" i="6"/>
  <c r="R26" i="6"/>
  <c r="N26" i="6"/>
  <c r="AD37" i="6"/>
  <c r="U27" i="6"/>
  <c r="AH39" i="6"/>
  <c r="S27" i="6"/>
  <c r="W32" i="6"/>
  <c r="AC37" i="6"/>
  <c r="AA37" i="6"/>
  <c r="K19" i="13"/>
  <c r="O32" i="13" s="1"/>
  <c r="J28" i="14" s="1"/>
  <c r="O69" i="13"/>
  <c r="R19" i="13"/>
  <c r="AC39" i="13" s="1"/>
  <c r="X35" i="14" s="1"/>
  <c r="S69" i="13"/>
  <c r="Y13" i="11"/>
  <c r="X10" i="13" s="1"/>
  <c r="G33" i="3"/>
  <c r="U33" i="3"/>
  <c r="O33" i="3"/>
  <c r="O100" i="3" s="1"/>
  <c r="AD13" i="3"/>
  <c r="AD15" i="3" s="1"/>
  <c r="AD17" i="3" s="1"/>
  <c r="AD31" i="3" s="1"/>
  <c r="P25" i="6"/>
  <c r="W27" i="6"/>
  <c r="AB39" i="6"/>
  <c r="R27" i="6"/>
  <c r="X37" i="6"/>
  <c r="J27" i="6"/>
  <c r="AG39" i="6"/>
  <c r="L25" i="6"/>
  <c r="F23" i="6"/>
  <c r="T25" i="6"/>
  <c r="O25" i="6"/>
  <c r="K50" i="6"/>
  <c r="F22" i="6"/>
  <c r="G22" i="6"/>
  <c r="O22" i="6"/>
  <c r="P22" i="6"/>
  <c r="Q22" i="6"/>
  <c r="G17" i="6"/>
  <c r="I24" i="6" s="1"/>
  <c r="L50" i="6"/>
  <c r="R50" i="6"/>
  <c r="AD38" i="6"/>
  <c r="AG38" i="6"/>
  <c r="AH38" i="6"/>
  <c r="Z38" i="6"/>
  <c r="AB34" i="6"/>
  <c r="X34" i="6"/>
  <c r="K23" i="6"/>
  <c r="AD39" i="6"/>
  <c r="M30" i="6"/>
  <c r="G23" i="6"/>
  <c r="L23" i="6"/>
  <c r="H23" i="6"/>
  <c r="U30" i="6"/>
  <c r="P30" i="6"/>
  <c r="S28" i="6"/>
  <c r="U28" i="6"/>
  <c r="AC39" i="6"/>
  <c r="F50" i="6"/>
  <c r="P23" i="6"/>
  <c r="O23" i="6"/>
  <c r="R28" i="6"/>
  <c r="E50" i="6"/>
  <c r="N28" i="6"/>
  <c r="Z39" i="6"/>
  <c r="AF39" i="6"/>
  <c r="AE39" i="6"/>
  <c r="L28" i="6"/>
  <c r="Q23" i="6"/>
  <c r="I23" i="6"/>
  <c r="N30" i="6"/>
  <c r="D50" i="6"/>
  <c r="V28" i="6"/>
  <c r="S33" i="6"/>
  <c r="AC50" i="6"/>
  <c r="X36" i="13"/>
  <c r="S32" i="14" s="1"/>
  <c r="AB36" i="13"/>
  <c r="W32" i="14" s="1"/>
  <c r="Y36" i="13"/>
  <c r="T32" i="14" s="1"/>
  <c r="V36" i="13"/>
  <c r="Q32" i="14" s="1"/>
  <c r="R36" i="13"/>
  <c r="M32" i="14" s="1"/>
  <c r="AC36" i="13"/>
  <c r="X32" i="14" s="1"/>
  <c r="E19" i="13"/>
  <c r="Q26" i="13" s="1"/>
  <c r="Y40" i="13"/>
  <c r="T36" i="14" s="1"/>
  <c r="AF40" i="13"/>
  <c r="AA36" i="14" s="1"/>
  <c r="Q69" i="13"/>
  <c r="I19" i="13"/>
  <c r="N30" i="13" s="1"/>
  <c r="I26" i="14" s="1"/>
  <c r="V26" i="3"/>
  <c r="V28" i="3" s="1"/>
  <c r="V32" i="3" s="1"/>
  <c r="N26" i="3"/>
  <c r="N28" i="3" s="1"/>
  <c r="N32" i="3" s="1"/>
  <c r="R26" i="3"/>
  <c r="R28" i="3" s="1"/>
  <c r="R32" i="3" s="1"/>
  <c r="I26" i="2"/>
  <c r="I29" i="2" s="1"/>
  <c r="I28" i="10" s="1"/>
  <c r="I12" i="10" s="1"/>
  <c r="I32" i="17" s="1"/>
  <c r="H13" i="3"/>
  <c r="H15" i="3" s="1"/>
  <c r="H17" i="3" s="1"/>
  <c r="H31" i="3" s="1"/>
  <c r="Z34" i="6"/>
  <c r="V34" i="6"/>
  <c r="R34" i="6"/>
  <c r="G33" i="8"/>
  <c r="G10" i="8"/>
  <c r="G11" i="17" s="1"/>
  <c r="I10" i="8"/>
  <c r="I11" i="17" s="1"/>
  <c r="I33" i="8"/>
  <c r="J22" i="6"/>
  <c r="L22" i="6"/>
  <c r="AC34" i="6"/>
  <c r="Y34" i="6"/>
  <c r="G26" i="2"/>
  <c r="F13" i="3"/>
  <c r="F15" i="3" s="1"/>
  <c r="F17" i="3" s="1"/>
  <c r="F31" i="3" s="1"/>
  <c r="K33" i="8"/>
  <c r="K10" i="8"/>
  <c r="K11" i="17" s="1"/>
  <c r="Q36" i="13"/>
  <c r="L32" i="14" s="1"/>
  <c r="T36" i="13"/>
  <c r="O32" i="14" s="1"/>
  <c r="M26" i="2"/>
  <c r="L13" i="3"/>
  <c r="L15" i="3" s="1"/>
  <c r="L17" i="3" s="1"/>
  <c r="L31" i="3" s="1"/>
  <c r="L33" i="3" s="1"/>
  <c r="L100" i="3" s="1"/>
  <c r="W37" i="8"/>
  <c r="W13" i="8" s="1"/>
  <c r="F13" i="19"/>
  <c r="R22" i="6"/>
  <c r="I33" i="3"/>
  <c r="I100" i="3" s="1"/>
  <c r="X38" i="6"/>
  <c r="AI38" i="6"/>
  <c r="X28" i="3"/>
  <c r="X32" i="3" s="1"/>
  <c r="AA26" i="2"/>
  <c r="Z11" i="17"/>
  <c r="U36" i="13"/>
  <c r="P32" i="14" s="1"/>
  <c r="Z36" i="13"/>
  <c r="U32" i="14" s="1"/>
  <c r="AA36" i="13"/>
  <c r="V32" i="14" s="1"/>
  <c r="T33" i="6"/>
  <c r="V33" i="6"/>
  <c r="AA38" i="6"/>
  <c r="AF38" i="6"/>
  <c r="U34" i="6"/>
  <c r="S34" i="6"/>
  <c r="W34" i="6"/>
  <c r="K28" i="6"/>
  <c r="K22" i="6"/>
  <c r="H22" i="6"/>
  <c r="H50" i="6"/>
  <c r="J50" i="6"/>
  <c r="M28" i="6"/>
  <c r="W28" i="6"/>
  <c r="O28" i="6"/>
  <c r="T34" i="6"/>
  <c r="V38" i="6"/>
  <c r="R33" i="6"/>
  <c r="X39" i="6"/>
  <c r="AJ39" i="6"/>
  <c r="AI39" i="6"/>
  <c r="Y39" i="6"/>
  <c r="AA39" i="6"/>
  <c r="L24" i="3"/>
  <c r="L26" i="3" s="1"/>
  <c r="L28" i="3" s="1"/>
  <c r="L32" i="3" s="1"/>
  <c r="M27" i="2"/>
  <c r="K26" i="2"/>
  <c r="K29" i="2" s="1"/>
  <c r="K28" i="10" s="1"/>
  <c r="K12" i="10" s="1"/>
  <c r="K32" i="17" s="1"/>
  <c r="J13" i="3"/>
  <c r="J15" i="3" s="1"/>
  <c r="J17" i="3" s="1"/>
  <c r="J31" i="3" s="1"/>
  <c r="J33" i="3" s="1"/>
  <c r="J100" i="3" s="1"/>
  <c r="C29" i="2"/>
  <c r="C28" i="10" s="1"/>
  <c r="F24" i="3"/>
  <c r="F26" i="3" s="1"/>
  <c r="F28" i="3" s="1"/>
  <c r="F32" i="3" s="1"/>
  <c r="G27" i="2"/>
  <c r="P33" i="8"/>
  <c r="P10" i="8"/>
  <c r="P11" i="17" s="1"/>
  <c r="H28" i="3"/>
  <c r="H32" i="3" s="1"/>
  <c r="S33" i="10"/>
  <c r="S17" i="10" s="1"/>
  <c r="S38" i="17" s="1"/>
  <c r="AA27" i="9"/>
  <c r="AA33" i="10" s="1"/>
  <c r="AA17" i="10" s="1"/>
  <c r="AA38" i="17" s="1"/>
  <c r="E15" i="18" s="1"/>
  <c r="AE27" i="9"/>
  <c r="AE33" i="10" s="1"/>
  <c r="AE17" i="10" s="1"/>
  <c r="AE38" i="17" s="1"/>
  <c r="AB27" i="9"/>
  <c r="AB33" i="10" s="1"/>
  <c r="AB17" i="10" s="1"/>
  <c r="AB38" i="17" s="1"/>
  <c r="D15" i="18" s="1"/>
  <c r="AF27" i="9"/>
  <c r="AF33" i="10" s="1"/>
  <c r="AF17" i="10" s="1"/>
  <c r="AF38" i="17" s="1"/>
  <c r="AC27" i="9"/>
  <c r="AC33" i="10" s="1"/>
  <c r="AC17" i="10" s="1"/>
  <c r="AC38" i="17" s="1"/>
  <c r="W27" i="9"/>
  <c r="W33" i="10" s="1"/>
  <c r="W17" i="10" s="1"/>
  <c r="W38" i="17" s="1"/>
  <c r="X27" i="9"/>
  <c r="X33" i="10" s="1"/>
  <c r="X17" i="10" s="1"/>
  <c r="X38" i="17" s="1"/>
  <c r="Y27" i="9"/>
  <c r="Y33" i="10" s="1"/>
  <c r="Y17" i="10" s="1"/>
  <c r="Y38" i="17" s="1"/>
  <c r="AD27" i="9"/>
  <c r="AD33" i="10" s="1"/>
  <c r="AD17" i="10" s="1"/>
  <c r="AD38" i="17" s="1"/>
  <c r="T27" i="9"/>
  <c r="Z27" i="9"/>
  <c r="Z33" i="10" s="1"/>
  <c r="Z17" i="10" s="1"/>
  <c r="Z38" i="17" s="1"/>
  <c r="S30" i="9"/>
  <c r="U27" i="9"/>
  <c r="U33" i="10" s="1"/>
  <c r="U17" i="10" s="1"/>
  <c r="U38" i="17" s="1"/>
  <c r="V27" i="9"/>
  <c r="V33" i="10" s="1"/>
  <c r="V17" i="10" s="1"/>
  <c r="V38" i="17" s="1"/>
  <c r="U26" i="2"/>
  <c r="U29" i="2" s="1"/>
  <c r="U28" i="10" s="1"/>
  <c r="U12" i="10" s="1"/>
  <c r="U32" i="17" s="1"/>
  <c r="T13" i="3"/>
  <c r="T15" i="3" s="1"/>
  <c r="T17" i="3" s="1"/>
  <c r="T31" i="3" s="1"/>
  <c r="T33" i="3" s="1"/>
  <c r="T100" i="3" s="1"/>
  <c r="W33" i="8"/>
  <c r="W10" i="8"/>
  <c r="W11" i="17" s="1"/>
  <c r="M24" i="3"/>
  <c r="M26" i="3" s="1"/>
  <c r="M28" i="3" s="1"/>
  <c r="M32" i="3" s="1"/>
  <c r="M33" i="3" s="1"/>
  <c r="N27" i="2"/>
  <c r="N29" i="2" s="1"/>
  <c r="N28" i="10" s="1"/>
  <c r="N12" i="10" s="1"/>
  <c r="N32" i="17" s="1"/>
  <c r="S29" i="9"/>
  <c r="W38" i="6"/>
  <c r="AC38" i="6"/>
  <c r="AA34" i="6"/>
  <c r="M22" i="6"/>
  <c r="N22" i="6"/>
  <c r="Q27" i="2"/>
  <c r="Q29" i="2" s="1"/>
  <c r="Q28" i="10" s="1"/>
  <c r="Q12" i="10" s="1"/>
  <c r="Q32" i="17" s="1"/>
  <c r="P24" i="3"/>
  <c r="P26" i="3" s="1"/>
  <c r="P28" i="3" s="1"/>
  <c r="P32" i="3" s="1"/>
  <c r="P33" i="3" s="1"/>
  <c r="Y26" i="2"/>
  <c r="Y29" i="2" s="1"/>
  <c r="Y28" i="10" s="1"/>
  <c r="Y12" i="10" s="1"/>
  <c r="Y32" i="17" s="1"/>
  <c r="X13" i="3"/>
  <c r="X15" i="3" s="1"/>
  <c r="X17" i="3" s="1"/>
  <c r="X31" i="3" s="1"/>
  <c r="X33" i="3" s="1"/>
  <c r="X35" i="3" s="1"/>
  <c r="AM61" i="3" s="1"/>
  <c r="S24" i="3"/>
  <c r="S26" i="3" s="1"/>
  <c r="S28" i="3" s="1"/>
  <c r="S32" i="3" s="1"/>
  <c r="S33" i="3" s="1"/>
  <c r="T27" i="2"/>
  <c r="T29" i="2" s="1"/>
  <c r="T28" i="10" s="1"/>
  <c r="T12" i="10" s="1"/>
  <c r="T32" i="17" s="1"/>
  <c r="I22" i="6"/>
  <c r="Z40" i="13"/>
  <c r="U36" i="14" s="1"/>
  <c r="AJ38" i="6"/>
  <c r="Y38" i="6"/>
  <c r="E33" i="3"/>
  <c r="E100" i="3" s="1"/>
  <c r="C33" i="3"/>
  <c r="P36" i="13"/>
  <c r="K32" i="14" s="1"/>
  <c r="W36" i="13"/>
  <c r="R32" i="14" s="1"/>
  <c r="S36" i="13"/>
  <c r="N32" i="14" s="1"/>
  <c r="AE38" i="6"/>
  <c r="AB38" i="6"/>
  <c r="AD34" i="6"/>
  <c r="AE34" i="6"/>
  <c r="I50" i="6"/>
  <c r="E22" i="6"/>
  <c r="T28" i="6"/>
  <c r="K25" i="6"/>
  <c r="S25" i="6"/>
  <c r="Q25" i="6"/>
  <c r="R27" i="2"/>
  <c r="Q24" i="3"/>
  <c r="Q26" i="3" s="1"/>
  <c r="Q28" i="3" s="1"/>
  <c r="Q32" i="3" s="1"/>
  <c r="Q33" i="3" s="1"/>
  <c r="O26" i="2"/>
  <c r="O29" i="2" s="1"/>
  <c r="O28" i="10" s="1"/>
  <c r="O12" i="10" s="1"/>
  <c r="O32" i="17" s="1"/>
  <c r="N13" i="3"/>
  <c r="N15" i="3" s="1"/>
  <c r="N17" i="3" s="1"/>
  <c r="N31" i="3" s="1"/>
  <c r="R10" i="8"/>
  <c r="R11" i="17" s="1"/>
  <c r="R33" i="8"/>
  <c r="E26" i="2"/>
  <c r="E29" i="2" s="1"/>
  <c r="E28" i="10" s="1"/>
  <c r="E12" i="10" s="1"/>
  <c r="E32" i="17" s="1"/>
  <c r="D13" i="3"/>
  <c r="D15" i="3" s="1"/>
  <c r="D17" i="3" s="1"/>
  <c r="D31" i="3" s="1"/>
  <c r="D33" i="3" s="1"/>
  <c r="G10" i="18"/>
  <c r="Z13" i="11"/>
  <c r="Y9" i="12" s="1"/>
  <c r="W21" i="15"/>
  <c r="W10" i="15" s="1"/>
  <c r="AC30" i="17" s="1"/>
  <c r="W9" i="12"/>
  <c r="AC22" i="2"/>
  <c r="AC24" i="2" s="1"/>
  <c r="AC27" i="2" s="1"/>
  <c r="AC29" i="2" s="1"/>
  <c r="AC28" i="10" s="1"/>
  <c r="AC12" i="10" s="1"/>
  <c r="T32" i="6"/>
  <c r="U32" i="6"/>
  <c r="Y32" i="6"/>
  <c r="Q32" i="6"/>
  <c r="AA32" i="6"/>
  <c r="AB32" i="6"/>
  <c r="S32" i="6"/>
  <c r="X32" i="6"/>
  <c r="N50" i="6"/>
  <c r="M50" i="6"/>
  <c r="P26" i="6"/>
  <c r="J26" i="6"/>
  <c r="L26" i="6"/>
  <c r="U26" i="6"/>
  <c r="T26" i="6"/>
  <c r="Q26" i="6"/>
  <c r="I26" i="6"/>
  <c r="V32" i="6"/>
  <c r="Z32" i="6"/>
  <c r="R32" i="6"/>
  <c r="G50" i="6"/>
  <c r="J23" i="6"/>
  <c r="M23" i="6"/>
  <c r="S23" i="6"/>
  <c r="AD36" i="6"/>
  <c r="AF36" i="6"/>
  <c r="AC36" i="6"/>
  <c r="AE36" i="6"/>
  <c r="Y36" i="6"/>
  <c r="AA36" i="6"/>
  <c r="T36" i="6"/>
  <c r="AG36" i="6"/>
  <c r="Z36" i="6"/>
  <c r="AB36" i="6"/>
  <c r="V36" i="6"/>
  <c r="X36" i="6"/>
  <c r="U36" i="6"/>
  <c r="W36" i="6"/>
  <c r="O20" i="6"/>
  <c r="C20" i="6"/>
  <c r="E20" i="6"/>
  <c r="H20" i="6"/>
  <c r="J20" i="6"/>
  <c r="K20" i="6"/>
  <c r="D20" i="6"/>
  <c r="G20" i="6"/>
  <c r="L20" i="6"/>
  <c r="N20" i="6"/>
  <c r="P20" i="6"/>
  <c r="M20" i="6"/>
  <c r="I20" i="6"/>
  <c r="F20" i="6"/>
  <c r="N17" i="6"/>
  <c r="S50" i="6"/>
  <c r="V50" i="6"/>
  <c r="T50" i="6"/>
  <c r="U50" i="6"/>
  <c r="O50" i="6"/>
  <c r="R17" i="6"/>
  <c r="E21" i="6"/>
  <c r="D21" i="6"/>
  <c r="O21" i="6"/>
  <c r="F21" i="6"/>
  <c r="I21" i="6"/>
  <c r="H21" i="6"/>
  <c r="P21" i="6"/>
  <c r="N21" i="6"/>
  <c r="Q21" i="6"/>
  <c r="G21" i="6"/>
  <c r="J21" i="6"/>
  <c r="M21" i="6"/>
  <c r="L21" i="6"/>
  <c r="K21" i="6"/>
  <c r="Q50" i="6"/>
  <c r="P50" i="6"/>
  <c r="AD40" i="13"/>
  <c r="Y36" i="14" s="1"/>
  <c r="AC40" i="13"/>
  <c r="X36" i="14" s="1"/>
  <c r="V40" i="13"/>
  <c r="Q36" i="14" s="1"/>
  <c r="U40" i="13"/>
  <c r="P36" i="14" s="1"/>
  <c r="AE40" i="13"/>
  <c r="Z36" i="14" s="1"/>
  <c r="AA40" i="13"/>
  <c r="V36" i="14" s="1"/>
  <c r="X40" i="13"/>
  <c r="S36" i="14" s="1"/>
  <c r="W40" i="13"/>
  <c r="R36" i="14" s="1"/>
  <c r="F69" i="13"/>
  <c r="F19" i="13"/>
  <c r="AD38" i="13"/>
  <c r="AC38" i="13"/>
  <c r="AE38" i="13"/>
  <c r="P19" i="13"/>
  <c r="P69" i="13"/>
  <c r="N31" i="13"/>
  <c r="I27" i="14" s="1"/>
  <c r="S31" i="13"/>
  <c r="N27" i="14" s="1"/>
  <c r="T31" i="13"/>
  <c r="O27" i="14" s="1"/>
  <c r="U31" i="13"/>
  <c r="P27" i="14" s="1"/>
  <c r="R31" i="13"/>
  <c r="M27" i="14" s="1"/>
  <c r="J31" i="13"/>
  <c r="K31" i="13"/>
  <c r="F27" i="14" s="1"/>
  <c r="V31" i="13"/>
  <c r="L31" i="13"/>
  <c r="G27" i="14" s="1"/>
  <c r="M31" i="13"/>
  <c r="H27" i="14" s="1"/>
  <c r="P31" i="13"/>
  <c r="K27" i="14" s="1"/>
  <c r="Q31" i="13"/>
  <c r="L27" i="14" s="1"/>
  <c r="O31" i="13"/>
  <c r="J27" i="14" s="1"/>
  <c r="G13" i="18"/>
  <c r="C21" i="13"/>
  <c r="C60" i="13" s="1"/>
  <c r="C69" i="13"/>
  <c r="C19" i="13"/>
  <c r="T40" i="13"/>
  <c r="AG40" i="13"/>
  <c r="AB36" i="14" s="1"/>
  <c r="AE39" i="13"/>
  <c r="Z35" i="14" s="1"/>
  <c r="AF39" i="13"/>
  <c r="AD39" i="13"/>
  <c r="Y35" i="14" s="1"/>
  <c r="K32" i="13"/>
  <c r="W32" i="13"/>
  <c r="M32" i="13"/>
  <c r="H28" i="14" s="1"/>
  <c r="S32" i="13"/>
  <c r="N28" i="14" s="1"/>
  <c r="Z28" i="11"/>
  <c r="AA28" i="11" s="1"/>
  <c r="X11" i="12"/>
  <c r="Z16" i="11"/>
  <c r="X13" i="13"/>
  <c r="Y17" i="6"/>
  <c r="Z16" i="6"/>
  <c r="Z17" i="6" s="1"/>
  <c r="AB34" i="3"/>
  <c r="AE40" i="1"/>
  <c r="AF40" i="1" s="1"/>
  <c r="G7" i="18"/>
  <c r="J7" i="18"/>
  <c r="K7" i="18" s="1"/>
  <c r="Z28" i="3"/>
  <c r="Z32" i="3" s="1"/>
  <c r="Z33" i="3" s="1"/>
  <c r="Z35" i="3" s="1"/>
  <c r="AO63" i="3" s="1"/>
  <c r="AC10" i="8"/>
  <c r="AC33" i="8"/>
  <c r="V24" i="16"/>
  <c r="V8" i="16" s="1"/>
  <c r="AA8" i="17" s="1"/>
  <c r="U15" i="13"/>
  <c r="V9" i="13"/>
  <c r="V8" i="12"/>
  <c r="V12" i="12" s="1"/>
  <c r="V14" i="12" s="1"/>
  <c r="X34" i="11"/>
  <c r="W16" i="16"/>
  <c r="D53" i="18" s="1"/>
  <c r="D61" i="18" s="1"/>
  <c r="E61" i="18" s="1"/>
  <c r="AB45" i="17"/>
  <c r="AB23" i="17"/>
  <c r="U24" i="15"/>
  <c r="U12" i="15" s="1"/>
  <c r="U12" i="13"/>
  <c r="U14" i="13" s="1"/>
  <c r="X50" i="6"/>
  <c r="W50" i="6"/>
  <c r="W17" i="6"/>
  <c r="AB50" i="6"/>
  <c r="X17" i="6"/>
  <c r="AA50" i="6"/>
  <c r="Y50" i="6"/>
  <c r="Z50" i="6"/>
  <c r="Z27" i="2"/>
  <c r="Z29" i="2" s="1"/>
  <c r="Z28" i="10" s="1"/>
  <c r="Z12" i="10" s="1"/>
  <c r="Z32" i="17" s="1"/>
  <c r="Y24" i="3"/>
  <c r="Y26" i="3" s="1"/>
  <c r="Y28" i="3" s="1"/>
  <c r="Y32" i="3" s="1"/>
  <c r="Y33" i="3" s="1"/>
  <c r="Y35" i="3" s="1"/>
  <c r="AN62" i="3" s="1"/>
  <c r="AA27" i="2"/>
  <c r="AB10" i="8"/>
  <c r="AB33" i="8"/>
  <c r="AB27" i="2"/>
  <c r="AB29" i="2" s="1"/>
  <c r="AB28" i="10" s="1"/>
  <c r="AB12" i="10" s="1"/>
  <c r="AA24" i="3"/>
  <c r="AA26" i="3" s="1"/>
  <c r="AA28" i="3" s="1"/>
  <c r="AA32" i="3" s="1"/>
  <c r="AA33" i="3" s="1"/>
  <c r="AE10" i="8"/>
  <c r="AE33" i="8"/>
  <c r="AB13" i="3"/>
  <c r="AB15" i="3" s="1"/>
  <c r="AB17" i="3" s="1"/>
  <c r="AB31" i="3" s="1"/>
  <c r="AD26" i="2"/>
  <c r="AC13" i="3"/>
  <c r="AC15" i="3" s="1"/>
  <c r="AC17" i="3" s="1"/>
  <c r="AC31" i="3" s="1"/>
  <c r="T69" i="13"/>
  <c r="T19" i="13"/>
  <c r="R28" i="13"/>
  <c r="S28" i="13"/>
  <c r="T28" i="13"/>
  <c r="N28" i="13"/>
  <c r="O28" i="13"/>
  <c r="P28" i="13"/>
  <c r="Q28" i="13"/>
  <c r="J28" i="13"/>
  <c r="K28" i="13"/>
  <c r="L28" i="13"/>
  <c r="M28" i="13"/>
  <c r="G28" i="13"/>
  <c r="H28" i="13"/>
  <c r="I28" i="13"/>
  <c r="G100" i="3"/>
  <c r="G35" i="3"/>
  <c r="R44" i="3" s="1"/>
  <c r="X100" i="3"/>
  <c r="U35" i="3"/>
  <c r="U100" i="3"/>
  <c r="C36" i="17"/>
  <c r="V33" i="3"/>
  <c r="V100" i="3" s="1"/>
  <c r="R33" i="3"/>
  <c r="R100" i="3" s="1"/>
  <c r="L31" i="4"/>
  <c r="Q75" i="3"/>
  <c r="L35" i="4"/>
  <c r="AD27" i="2"/>
  <c r="AC24" i="3"/>
  <c r="AC26" i="3" s="1"/>
  <c r="AC28" i="3" s="1"/>
  <c r="AC32" i="3" s="1"/>
  <c r="H19" i="13"/>
  <c r="H69" i="13"/>
  <c r="U22" i="15"/>
  <c r="V29" i="11"/>
  <c r="D19" i="13"/>
  <c r="D69" i="13"/>
  <c r="E21" i="13"/>
  <c r="E60" i="13" s="1"/>
  <c r="G21" i="13"/>
  <c r="G60" i="13" s="1"/>
  <c r="I21" i="13"/>
  <c r="I60" i="13" s="1"/>
  <c r="D21" i="13"/>
  <c r="D60" i="13" s="1"/>
  <c r="F21" i="13"/>
  <c r="F60" i="13" s="1"/>
  <c r="H21" i="13"/>
  <c r="H60" i="13" s="1"/>
  <c r="J21" i="13"/>
  <c r="J60" i="13" s="1"/>
  <c r="K21" i="13"/>
  <c r="K60" i="13" s="1"/>
  <c r="L21" i="13"/>
  <c r="L60" i="13" s="1"/>
  <c r="N21" i="13"/>
  <c r="N60" i="13" s="1"/>
  <c r="P21" i="13"/>
  <c r="P60" i="13" s="1"/>
  <c r="M21" i="13"/>
  <c r="M60" i="13" s="1"/>
  <c r="R21" i="13"/>
  <c r="R60" i="13" s="1"/>
  <c r="O21" i="13"/>
  <c r="O60" i="13" s="1"/>
  <c r="S21" i="13"/>
  <c r="S60" i="13" s="1"/>
  <c r="Q21" i="13"/>
  <c r="Q60" i="13" s="1"/>
  <c r="T21" i="13"/>
  <c r="T60" i="13" s="1"/>
  <c r="Z27" i="11"/>
  <c r="AA27" i="11" s="1"/>
  <c r="C37" i="3"/>
  <c r="C91" i="3" s="1"/>
  <c r="C100" i="3"/>
  <c r="AE22" i="2"/>
  <c r="AE24" i="2" s="1"/>
  <c r="G26" i="13"/>
  <c r="L69" i="13"/>
  <c r="L19" i="13"/>
  <c r="N19" i="13"/>
  <c r="N69" i="13"/>
  <c r="J35" i="3"/>
  <c r="P34" i="13"/>
  <c r="K30" i="14" s="1"/>
  <c r="R34" i="13"/>
  <c r="M30" i="14" s="1"/>
  <c r="T34" i="13"/>
  <c r="O30" i="14" s="1"/>
  <c r="V34" i="13"/>
  <c r="Q30" i="14" s="1"/>
  <c r="Z34" i="13"/>
  <c r="S34" i="13"/>
  <c r="N30" i="14" s="1"/>
  <c r="W34" i="13"/>
  <c r="R30" i="14" s="1"/>
  <c r="AA34" i="13"/>
  <c r="N34" i="13"/>
  <c r="X34" i="13"/>
  <c r="S30" i="14" s="1"/>
  <c r="O34" i="13"/>
  <c r="J30" i="14" s="1"/>
  <c r="Q34" i="13"/>
  <c r="L30" i="14" s="1"/>
  <c r="U34" i="13"/>
  <c r="P30" i="14" s="1"/>
  <c r="Y34" i="13"/>
  <c r="T30" i="14" s="1"/>
  <c r="R38" i="13"/>
  <c r="T38" i="13"/>
  <c r="O34" i="14" s="1"/>
  <c r="V38" i="13"/>
  <c r="Q34" i="14" s="1"/>
  <c r="X38" i="13"/>
  <c r="S34" i="14" s="1"/>
  <c r="Z38" i="13"/>
  <c r="U34" i="14" s="1"/>
  <c r="AB38" i="13"/>
  <c r="W34" i="14" s="1"/>
  <c r="S38" i="13"/>
  <c r="N34" i="14" s="1"/>
  <c r="U38" i="13"/>
  <c r="P34" i="14" s="1"/>
  <c r="W38" i="13"/>
  <c r="R34" i="14" s="1"/>
  <c r="Y38" i="13"/>
  <c r="T34" i="14" s="1"/>
  <c r="AA38" i="13"/>
  <c r="V34" i="14" s="1"/>
  <c r="W39" i="13"/>
  <c r="R35" i="14" s="1"/>
  <c r="Y39" i="13"/>
  <c r="T35" i="14" s="1"/>
  <c r="V39" i="13"/>
  <c r="Q35" i="14" s="1"/>
  <c r="X39" i="13"/>
  <c r="S35" i="14" s="1"/>
  <c r="S44" i="3"/>
  <c r="T44" i="3"/>
  <c r="N44" i="3"/>
  <c r="P44" i="3"/>
  <c r="Q44" i="3"/>
  <c r="J44" i="3"/>
  <c r="L44" i="3"/>
  <c r="M44" i="3"/>
  <c r="G44" i="3"/>
  <c r="I44" i="3"/>
  <c r="K37" i="25" l="1"/>
  <c r="K38" i="25"/>
  <c r="K55" i="25" s="1"/>
  <c r="K43" i="25"/>
  <c r="V35" i="3"/>
  <c r="AA29" i="2"/>
  <c r="AA28" i="10" s="1"/>
  <c r="AA12" i="10" s="1"/>
  <c r="X9" i="12"/>
  <c r="V32" i="13"/>
  <c r="Q28" i="14" s="1"/>
  <c r="U32" i="13"/>
  <c r="P28" i="14" s="1"/>
  <c r="N32" i="13"/>
  <c r="I28" i="14" s="1"/>
  <c r="R29" i="2"/>
  <c r="R28" i="10" s="1"/>
  <c r="R12" i="10" s="1"/>
  <c r="R32" i="17" s="1"/>
  <c r="AG32" i="14"/>
  <c r="H33" i="3"/>
  <c r="H100" i="3" s="1"/>
  <c r="W35" i="3"/>
  <c r="Y10" i="13"/>
  <c r="X21" i="15"/>
  <c r="X10" i="15" s="1"/>
  <c r="AD30" i="17" s="1"/>
  <c r="L32" i="13"/>
  <c r="G28" i="14" s="1"/>
  <c r="T32" i="13"/>
  <c r="O28" i="14" s="1"/>
  <c r="P32" i="13"/>
  <c r="K28" i="14" s="1"/>
  <c r="AG36" i="14"/>
  <c r="Y21" i="15"/>
  <c r="Y10" i="15" s="1"/>
  <c r="AE30" i="17" s="1"/>
  <c r="E23" i="18"/>
  <c r="R32" i="13"/>
  <c r="M28" i="14" s="1"/>
  <c r="Q32" i="13"/>
  <c r="L28" i="14" s="1"/>
  <c r="E53" i="18"/>
  <c r="AN42" i="6"/>
  <c r="AK42" i="6"/>
  <c r="AL42" i="6"/>
  <c r="AM42" i="6"/>
  <c r="H7" i="18"/>
  <c r="U29" i="9"/>
  <c r="V29" i="9"/>
  <c r="AT37" i="6"/>
  <c r="AU37" i="6" s="1"/>
  <c r="AT30" i="6"/>
  <c r="AU30" i="6" s="1"/>
  <c r="AT27" i="6"/>
  <c r="AU27" i="6" s="1"/>
  <c r="J24" i="6"/>
  <c r="J47" i="6" s="1"/>
  <c r="M18" i="10" s="1"/>
  <c r="M39" i="17" s="1"/>
  <c r="L24" i="6"/>
  <c r="H24" i="6"/>
  <c r="AT32" i="6"/>
  <c r="AU32" i="6" s="1"/>
  <c r="AO43" i="6"/>
  <c r="AN43" i="6"/>
  <c r="T39" i="13"/>
  <c r="O35" i="14" s="1"/>
  <c r="U39" i="13"/>
  <c r="P35" i="14" s="1"/>
  <c r="AB39" i="13"/>
  <c r="W35" i="14" s="1"/>
  <c r="Z39" i="13"/>
  <c r="U35" i="14" s="1"/>
  <c r="AG35" i="14" s="1"/>
  <c r="AA39" i="13"/>
  <c r="V35" i="14" s="1"/>
  <c r="S39" i="13"/>
  <c r="S30" i="13"/>
  <c r="N26" i="14" s="1"/>
  <c r="F26" i="13"/>
  <c r="P30" i="13"/>
  <c r="K26" i="14" s="1"/>
  <c r="N26" i="13"/>
  <c r="O26" i="13"/>
  <c r="L30" i="13"/>
  <c r="G26" i="14" s="1"/>
  <c r="H26" i="13"/>
  <c r="C22" i="14" s="1"/>
  <c r="I26" i="13"/>
  <c r="D10" i="14" s="1"/>
  <c r="K30" i="13"/>
  <c r="F26" i="14" s="1"/>
  <c r="AM36" i="13"/>
  <c r="AN36" i="13" s="1"/>
  <c r="M26" i="13"/>
  <c r="H10" i="14" s="1"/>
  <c r="J30" i="13"/>
  <c r="E26" i="14" s="1"/>
  <c r="N33" i="3"/>
  <c r="Q37" i="3" s="1"/>
  <c r="Q91" i="3" s="1"/>
  <c r="L35" i="3"/>
  <c r="W49" i="3" s="1"/>
  <c r="R35" i="3"/>
  <c r="AA55" i="3" s="1"/>
  <c r="V67" i="4" s="1"/>
  <c r="K35" i="3"/>
  <c r="W48" i="3" s="1"/>
  <c r="R43" i="4" s="1"/>
  <c r="O35" i="3"/>
  <c r="O52" i="3" s="1"/>
  <c r="J64" i="4" s="1"/>
  <c r="AA16" i="11"/>
  <c r="Y11" i="12"/>
  <c r="AA30" i="9"/>
  <c r="V30" i="9"/>
  <c r="W29" i="9"/>
  <c r="N24" i="6"/>
  <c r="R24" i="6"/>
  <c r="O24" i="6"/>
  <c r="AT39" i="6"/>
  <c r="AU39" i="6" s="1"/>
  <c r="P24" i="6"/>
  <c r="AT38" i="6"/>
  <c r="AU38" i="6" s="1"/>
  <c r="AT25" i="6"/>
  <c r="AU25" i="6" s="1"/>
  <c r="AT22" i="6"/>
  <c r="AU22" i="6" s="1"/>
  <c r="AT28" i="6"/>
  <c r="AU28" i="6" s="1"/>
  <c r="S24" i="6"/>
  <c r="Q24" i="6"/>
  <c r="M24" i="6"/>
  <c r="M47" i="6" s="1"/>
  <c r="P18" i="10" s="1"/>
  <c r="P39" i="17" s="1"/>
  <c r="G24" i="6"/>
  <c r="K24" i="6"/>
  <c r="AT34" i="6"/>
  <c r="AU34" i="6" s="1"/>
  <c r="AT23" i="6"/>
  <c r="AU23" i="6" s="1"/>
  <c r="T30" i="13"/>
  <c r="O26" i="14" s="1"/>
  <c r="Q30" i="13"/>
  <c r="L26" i="14" s="1"/>
  <c r="K26" i="13"/>
  <c r="F22" i="14" s="1"/>
  <c r="E26" i="13"/>
  <c r="L26" i="13"/>
  <c r="G22" i="14" s="1"/>
  <c r="I30" i="13"/>
  <c r="D26" i="14" s="1"/>
  <c r="R30" i="13"/>
  <c r="M26" i="14" s="1"/>
  <c r="P26" i="13"/>
  <c r="K10" i="14" s="1"/>
  <c r="J26" i="13"/>
  <c r="E10" i="14" s="1"/>
  <c r="U30" i="13"/>
  <c r="P26" i="14" s="1"/>
  <c r="O30" i="13"/>
  <c r="J26" i="14" s="1"/>
  <c r="M30" i="13"/>
  <c r="H26" i="14" s="1"/>
  <c r="Q35" i="3"/>
  <c r="Z54" i="3" s="1"/>
  <c r="U66" i="4" s="1"/>
  <c r="Q100" i="3"/>
  <c r="Q52" i="3"/>
  <c r="L64" i="4" s="1"/>
  <c r="H35" i="3"/>
  <c r="S45" i="3" s="1"/>
  <c r="D37" i="3"/>
  <c r="D91" i="3" s="1"/>
  <c r="F33" i="3"/>
  <c r="J37" i="3" s="1"/>
  <c r="J91" i="3" s="1"/>
  <c r="V48" i="3"/>
  <c r="Q43" i="4" s="1"/>
  <c r="S49" i="3"/>
  <c r="N61" i="4" s="1"/>
  <c r="AA13" i="11"/>
  <c r="AJ75" i="4"/>
  <c r="Y41" i="13"/>
  <c r="U41" i="13"/>
  <c r="X41" i="13"/>
  <c r="AA41" i="13"/>
  <c r="W41" i="13"/>
  <c r="Z41" i="13"/>
  <c r="V41" i="13"/>
  <c r="AL41" i="6"/>
  <c r="AM41" i="6"/>
  <c r="S35" i="3"/>
  <c r="S100" i="3"/>
  <c r="L49" i="3"/>
  <c r="W37" i="3"/>
  <c r="W91" i="3" s="1"/>
  <c r="T35" i="3"/>
  <c r="X57" i="3" s="1"/>
  <c r="S69" i="4" s="1"/>
  <c r="I35" i="3"/>
  <c r="Q46" i="3" s="1"/>
  <c r="L41" i="4" s="1"/>
  <c r="L58" i="4" s="1"/>
  <c r="AH40" i="6"/>
  <c r="AL40" i="6"/>
  <c r="AI40" i="6"/>
  <c r="AJ40" i="6"/>
  <c r="AK40" i="6"/>
  <c r="AC42" i="6"/>
  <c r="AJ42" i="6"/>
  <c r="Y29" i="9"/>
  <c r="AF29" i="9"/>
  <c r="AF30" i="9"/>
  <c r="T33" i="10"/>
  <c r="T17" i="10" s="1"/>
  <c r="T38" i="17" s="1"/>
  <c r="AC29" i="9"/>
  <c r="Z30" i="9"/>
  <c r="M29" i="2"/>
  <c r="M28" i="10" s="1"/>
  <c r="M12" i="10" s="1"/>
  <c r="M32" i="17" s="1"/>
  <c r="H44" i="3"/>
  <c r="C12" i="4" s="1"/>
  <c r="K44" i="3"/>
  <c r="F39" i="4" s="1"/>
  <c r="O44" i="3"/>
  <c r="J24" i="4" s="1"/>
  <c r="O49" i="3"/>
  <c r="J61" i="4" s="1"/>
  <c r="C35" i="3"/>
  <c r="I37" i="3"/>
  <c r="I91" i="3" s="1"/>
  <c r="E35" i="3"/>
  <c r="AT26" i="6"/>
  <c r="AU26" i="6" s="1"/>
  <c r="AD29" i="9"/>
  <c r="Z29" i="9"/>
  <c r="U30" i="9"/>
  <c r="T29" i="9"/>
  <c r="AB30" i="9"/>
  <c r="W30" i="9"/>
  <c r="AE30" i="9"/>
  <c r="AC30" i="9"/>
  <c r="AE29" i="9"/>
  <c r="X37" i="8"/>
  <c r="X13" i="8" s="1"/>
  <c r="G13" i="19"/>
  <c r="AD30" i="9"/>
  <c r="C12" i="10"/>
  <c r="C32" i="10"/>
  <c r="D100" i="3"/>
  <c r="D35" i="3"/>
  <c r="G29" i="2"/>
  <c r="G28" i="10" s="1"/>
  <c r="G12" i="10" s="1"/>
  <c r="G32" i="17" s="1"/>
  <c r="X29" i="9"/>
  <c r="E37" i="3"/>
  <c r="E91" i="3" s="1"/>
  <c r="H37" i="3"/>
  <c r="H91" i="3" s="1"/>
  <c r="AE43" i="6"/>
  <c r="L47" i="6"/>
  <c r="O18" i="10" s="1"/>
  <c r="O39" i="17" s="1"/>
  <c r="AA29" i="9"/>
  <c r="AG27" i="9"/>
  <c r="T30" i="9"/>
  <c r="Y30" i="9"/>
  <c r="X30" i="9"/>
  <c r="J15" i="18"/>
  <c r="K15" i="18" s="1"/>
  <c r="G15" i="18"/>
  <c r="H15" i="18" s="1"/>
  <c r="AT33" i="6"/>
  <c r="AU33" i="6" s="1"/>
  <c r="AB29" i="9"/>
  <c r="AI43" i="6"/>
  <c r="AB24" i="3"/>
  <c r="AB26" i="3" s="1"/>
  <c r="AB28" i="3" s="1"/>
  <c r="AB32" i="3" s="1"/>
  <c r="AB33" i="3" s="1"/>
  <c r="AB35" i="3" s="1"/>
  <c r="AR65" i="3" s="1"/>
  <c r="AK43" i="6"/>
  <c r="AE42" i="6"/>
  <c r="AT36" i="6"/>
  <c r="AU36" i="6" s="1"/>
  <c r="I47" i="6"/>
  <c r="L18" i="10" s="1"/>
  <c r="L39" i="17" s="1"/>
  <c r="AG43" i="6"/>
  <c r="AH43" i="6"/>
  <c r="AC43" i="6"/>
  <c r="F47" i="6"/>
  <c r="I18" i="10" s="1"/>
  <c r="I39" i="17" s="1"/>
  <c r="K47" i="6"/>
  <c r="N18" i="10" s="1"/>
  <c r="N39" i="17" s="1"/>
  <c r="C47" i="6"/>
  <c r="AT20" i="6"/>
  <c r="AU20" i="6" s="1"/>
  <c r="U35" i="6"/>
  <c r="X35" i="6"/>
  <c r="W35" i="6"/>
  <c r="Z35" i="6"/>
  <c r="AF35" i="6"/>
  <c r="Y35" i="6"/>
  <c r="AB35" i="6"/>
  <c r="AA35" i="6"/>
  <c r="AD35" i="6"/>
  <c r="AE35" i="6"/>
  <c r="T35" i="6"/>
  <c r="S35" i="6"/>
  <c r="V35" i="6"/>
  <c r="AC35" i="6"/>
  <c r="W31" i="6"/>
  <c r="W47" i="6" s="1"/>
  <c r="Z18" i="10" s="1"/>
  <c r="Z39" i="17" s="1"/>
  <c r="Z31" i="6"/>
  <c r="P31" i="6"/>
  <c r="R31" i="6"/>
  <c r="R47" i="6" s="1"/>
  <c r="U18" i="10" s="1"/>
  <c r="U39" i="17" s="1"/>
  <c r="N31" i="6"/>
  <c r="Q31" i="6"/>
  <c r="T31" i="6"/>
  <c r="U31" i="6"/>
  <c r="S31" i="6"/>
  <c r="V31" i="6"/>
  <c r="Y31" i="6"/>
  <c r="O31" i="6"/>
  <c r="X31" i="6"/>
  <c r="AJ43" i="6"/>
  <c r="H47" i="6"/>
  <c r="K18" i="10" s="1"/>
  <c r="K39" i="17" s="1"/>
  <c r="AT21" i="6"/>
  <c r="AU21" i="6" s="1"/>
  <c r="D47" i="6"/>
  <c r="G18" i="10" s="1"/>
  <c r="G39" i="17" s="1"/>
  <c r="E47" i="6"/>
  <c r="H18" i="10" s="1"/>
  <c r="H39" i="17" s="1"/>
  <c r="R28" i="14"/>
  <c r="AG28" i="14" s="1"/>
  <c r="Q27" i="14"/>
  <c r="AM32" i="13"/>
  <c r="AN32" i="13" s="1"/>
  <c r="F28" i="14"/>
  <c r="W37" i="13"/>
  <c r="R33" i="14" s="1"/>
  <c r="R37" i="13"/>
  <c r="M33" i="14" s="1"/>
  <c r="Z37" i="13"/>
  <c r="U33" i="14" s="1"/>
  <c r="Y37" i="13"/>
  <c r="T33" i="14" s="1"/>
  <c r="AA37" i="13"/>
  <c r="V33" i="14" s="1"/>
  <c r="X37" i="13"/>
  <c r="S33" i="14" s="1"/>
  <c r="T37" i="13"/>
  <c r="O33" i="14" s="1"/>
  <c r="AC37" i="13"/>
  <c r="AB37" i="13"/>
  <c r="W33" i="14" s="1"/>
  <c r="S37" i="13"/>
  <c r="N33" i="14" s="1"/>
  <c r="AD37" i="13"/>
  <c r="U37" i="13"/>
  <c r="P33" i="14" s="1"/>
  <c r="V37" i="13"/>
  <c r="Q33" i="14" s="1"/>
  <c r="Q37" i="13"/>
  <c r="I27" i="13"/>
  <c r="K27" i="13"/>
  <c r="F27" i="13"/>
  <c r="H27" i="13"/>
  <c r="Q27" i="13"/>
  <c r="S27" i="13"/>
  <c r="N27" i="13"/>
  <c r="P27" i="13"/>
  <c r="J27" i="13"/>
  <c r="L27" i="13"/>
  <c r="G27" i="13"/>
  <c r="M27" i="13"/>
  <c r="R27" i="13"/>
  <c r="O27" i="13"/>
  <c r="O24" i="13"/>
  <c r="F24" i="13"/>
  <c r="H24" i="13"/>
  <c r="E24" i="13"/>
  <c r="I24" i="13"/>
  <c r="C24" i="13"/>
  <c r="P24" i="13"/>
  <c r="K24" i="13"/>
  <c r="J24" i="13"/>
  <c r="G24" i="13"/>
  <c r="N24" i="13"/>
  <c r="L24" i="13"/>
  <c r="M24" i="13"/>
  <c r="D24" i="13"/>
  <c r="O36" i="14"/>
  <c r="AM40" i="13"/>
  <c r="AN40" i="13" s="1"/>
  <c r="AM31" i="13"/>
  <c r="AN31" i="13" s="1"/>
  <c r="E27" i="14"/>
  <c r="Y13" i="13"/>
  <c r="AH42" i="6"/>
  <c r="AI42" i="6"/>
  <c r="AA42" i="6"/>
  <c r="AD42" i="6"/>
  <c r="AB42" i="6"/>
  <c r="AG42" i="6"/>
  <c r="AC41" i="6"/>
  <c r="AD43" i="6"/>
  <c r="AF43" i="6"/>
  <c r="AA43" i="6"/>
  <c r="AM43" i="6"/>
  <c r="Z42" i="6"/>
  <c r="AF42" i="6"/>
  <c r="AL43" i="6"/>
  <c r="AB43" i="6"/>
  <c r="AG40" i="1"/>
  <c r="AA16" i="6"/>
  <c r="AA17" i="6" s="1"/>
  <c r="AC34" i="3"/>
  <c r="Y31" i="11"/>
  <c r="X18" i="13" s="1"/>
  <c r="AE41" i="6"/>
  <c r="AK62" i="3"/>
  <c r="AF74" i="4" s="1"/>
  <c r="AG62" i="3"/>
  <c r="AB74" i="4" s="1"/>
  <c r="AM62" i="3"/>
  <c r="AH74" i="4" s="1"/>
  <c r="AI62" i="3"/>
  <c r="AD74" i="4" s="1"/>
  <c r="AL62" i="3"/>
  <c r="AG74" i="4" s="1"/>
  <c r="AH62" i="3"/>
  <c r="AC74" i="4" s="1"/>
  <c r="AI74" i="4"/>
  <c r="AJ62" i="3"/>
  <c r="AE74" i="4" s="1"/>
  <c r="V24" i="15"/>
  <c r="V12" i="15" s="1"/>
  <c r="AB32" i="17" s="1"/>
  <c r="D9" i="18" s="1"/>
  <c r="V12" i="13"/>
  <c r="V14" i="13" s="1"/>
  <c r="W19" i="11"/>
  <c r="U16" i="13"/>
  <c r="AA32" i="17"/>
  <c r="E9" i="18" s="1"/>
  <c r="AC45" i="17"/>
  <c r="X16" i="16"/>
  <c r="Y34" i="11"/>
  <c r="AC23" i="17"/>
  <c r="AF40" i="6"/>
  <c r="Y40" i="6"/>
  <c r="X40" i="6"/>
  <c r="AA40" i="6"/>
  <c r="AE40" i="6"/>
  <c r="Z40" i="6"/>
  <c r="AC40" i="6"/>
  <c r="AG40" i="6"/>
  <c r="AD40" i="6"/>
  <c r="AB40" i="6"/>
  <c r="AK41" i="6"/>
  <c r="AG41" i="6"/>
  <c r="AI41" i="6"/>
  <c r="Y41" i="6"/>
  <c r="AA41" i="6"/>
  <c r="AH41" i="6"/>
  <c r="AB41" i="6"/>
  <c r="Z41" i="6"/>
  <c r="AF41" i="13"/>
  <c r="AB41" i="13"/>
  <c r="AE41" i="13"/>
  <c r="AG41" i="13"/>
  <c r="AC41" i="13"/>
  <c r="AH41" i="13"/>
  <c r="AD41" i="13"/>
  <c r="AD41" i="6"/>
  <c r="AJ41" i="6"/>
  <c r="AF41" i="6"/>
  <c r="Z100" i="3"/>
  <c r="AA35" i="3"/>
  <c r="AQ64" i="3" s="1"/>
  <c r="AA100" i="3"/>
  <c r="AA62" i="3"/>
  <c r="V74" i="4" s="1"/>
  <c r="Z62" i="3"/>
  <c r="U74" i="4" s="1"/>
  <c r="AF62" i="3"/>
  <c r="Y100" i="3"/>
  <c r="AB62" i="3"/>
  <c r="W74" i="4" s="1"/>
  <c r="AC62" i="3"/>
  <c r="X74" i="4" s="1"/>
  <c r="AD62" i="3"/>
  <c r="Y74" i="4" s="1"/>
  <c r="AE62" i="3"/>
  <c r="AC33" i="3"/>
  <c r="AD29" i="2"/>
  <c r="AD28" i="10" s="1"/>
  <c r="AD12" i="10" s="1"/>
  <c r="C24" i="14"/>
  <c r="C12" i="14"/>
  <c r="H12" i="14"/>
  <c r="H24" i="14"/>
  <c r="F24" i="14"/>
  <c r="F12" i="14"/>
  <c r="L24" i="14"/>
  <c r="L12" i="14"/>
  <c r="J12" i="14"/>
  <c r="J24" i="14"/>
  <c r="O12" i="14"/>
  <c r="O24" i="14"/>
  <c r="M24" i="14"/>
  <c r="M12" i="14"/>
  <c r="D12" i="14"/>
  <c r="D24" i="14"/>
  <c r="AM28" i="13"/>
  <c r="AN28" i="13" s="1"/>
  <c r="G24" i="14"/>
  <c r="G12" i="14"/>
  <c r="E24" i="14"/>
  <c r="E12" i="14"/>
  <c r="K12" i="14"/>
  <c r="K24" i="14"/>
  <c r="I12" i="14"/>
  <c r="I24" i="14"/>
  <c r="N24" i="14"/>
  <c r="N12" i="14"/>
  <c r="N49" i="3"/>
  <c r="I61" i="4" s="1"/>
  <c r="Q49" i="3"/>
  <c r="L61" i="4" s="1"/>
  <c r="U49" i="3"/>
  <c r="X49" i="3"/>
  <c r="S44" i="4" s="1"/>
  <c r="T37" i="3"/>
  <c r="T91" i="3" s="1"/>
  <c r="M37" i="3"/>
  <c r="M91" i="3" s="1"/>
  <c r="M49" i="3"/>
  <c r="H44" i="4" s="1"/>
  <c r="R49" i="3"/>
  <c r="M44" i="4" s="1"/>
  <c r="P49" i="3"/>
  <c r="K61" i="4" s="1"/>
  <c r="V49" i="3"/>
  <c r="T49" i="3"/>
  <c r="O44" i="4" s="1"/>
  <c r="Y49" i="3"/>
  <c r="T44" i="4" s="1"/>
  <c r="T45" i="4" s="1"/>
  <c r="P100" i="3"/>
  <c r="Z37" i="3"/>
  <c r="Z91" i="3" s="1"/>
  <c r="AI61" i="3"/>
  <c r="AD73" i="4" s="1"/>
  <c r="AA61" i="3"/>
  <c r="V73" i="4" s="1"/>
  <c r="AD61" i="3"/>
  <c r="Y73" i="4" s="1"/>
  <c r="Z61" i="3"/>
  <c r="U73" i="4" s="1"/>
  <c r="AK61" i="3"/>
  <c r="AF73" i="4" s="1"/>
  <c r="AJ61" i="3"/>
  <c r="AE73" i="4" s="1"/>
  <c r="AG61" i="3"/>
  <c r="AB73" i="4" s="1"/>
  <c r="AL61" i="3"/>
  <c r="Y61" i="3"/>
  <c r="AC61" i="3"/>
  <c r="X73" i="4" s="1"/>
  <c r="AB61" i="3"/>
  <c r="W73" i="4" s="1"/>
  <c r="AH61" i="3"/>
  <c r="AC73" i="4" s="1"/>
  <c r="AF61" i="3"/>
  <c r="AA73" i="4" s="1"/>
  <c r="AE61" i="3"/>
  <c r="Z73" i="4" s="1"/>
  <c r="V54" i="3"/>
  <c r="Q66" i="4" s="1"/>
  <c r="AB54" i="3"/>
  <c r="W66" i="4" s="1"/>
  <c r="S54" i="3"/>
  <c r="N66" i="4" s="1"/>
  <c r="W54" i="3"/>
  <c r="R66" i="4" s="1"/>
  <c r="Z60" i="3"/>
  <c r="U72" i="4" s="1"/>
  <c r="AB60" i="3"/>
  <c r="W72" i="4" s="1"/>
  <c r="AD60" i="3"/>
  <c r="Y72" i="4" s="1"/>
  <c r="AF60" i="3"/>
  <c r="AA72" i="4" s="1"/>
  <c r="AH60" i="3"/>
  <c r="AC72" i="4" s="1"/>
  <c r="AJ60" i="3"/>
  <c r="AE72" i="4" s="1"/>
  <c r="Y60" i="3"/>
  <c r="T72" i="4" s="1"/>
  <c r="AC60" i="3"/>
  <c r="X72" i="4" s="1"/>
  <c r="AG60" i="3"/>
  <c r="AB72" i="4" s="1"/>
  <c r="AK60" i="3"/>
  <c r="AA60" i="3"/>
  <c r="V72" i="4" s="1"/>
  <c r="AI60" i="3"/>
  <c r="AD72" i="4" s="1"/>
  <c r="X60" i="3"/>
  <c r="AE60" i="3"/>
  <c r="Z72" i="4" s="1"/>
  <c r="P35" i="3"/>
  <c r="S53" i="3" s="1"/>
  <c r="N65" i="4" s="1"/>
  <c r="R37" i="3"/>
  <c r="R91" i="3" s="1"/>
  <c r="U37" i="3"/>
  <c r="U91" i="3" s="1"/>
  <c r="M100" i="3"/>
  <c r="M35" i="3"/>
  <c r="N45" i="3"/>
  <c r="I45" i="3"/>
  <c r="V58" i="3"/>
  <c r="Z58" i="3"/>
  <c r="U70" i="4" s="1"/>
  <c r="AD58" i="3"/>
  <c r="Y70" i="4" s="1"/>
  <c r="AH58" i="3"/>
  <c r="AC70" i="4" s="1"/>
  <c r="Y58" i="3"/>
  <c r="T70" i="4" s="1"/>
  <c r="AC58" i="3"/>
  <c r="X70" i="4" s="1"/>
  <c r="AG58" i="3"/>
  <c r="AB70" i="4" s="1"/>
  <c r="X58" i="3"/>
  <c r="S70" i="4" s="1"/>
  <c r="AF58" i="3"/>
  <c r="AA70" i="4" s="1"/>
  <c r="AA58" i="3"/>
  <c r="V70" i="4" s="1"/>
  <c r="AE58" i="3"/>
  <c r="Z70" i="4" s="1"/>
  <c r="AB58" i="3"/>
  <c r="W70" i="4" s="1"/>
  <c r="W58" i="3"/>
  <c r="R70" i="4" s="1"/>
  <c r="AI58" i="3"/>
  <c r="H24" i="4"/>
  <c r="H12" i="4"/>
  <c r="H39" i="4"/>
  <c r="L39" i="4"/>
  <c r="L49" i="4" s="1"/>
  <c r="Q78" i="3" s="1"/>
  <c r="L24" i="4"/>
  <c r="L12" i="4"/>
  <c r="O39" i="4"/>
  <c r="O24" i="4"/>
  <c r="O12" i="4"/>
  <c r="M12" i="4"/>
  <c r="M39" i="4"/>
  <c r="M49" i="4" s="1"/>
  <c r="R78" i="3" s="1"/>
  <c r="M24" i="4"/>
  <c r="N35" i="14"/>
  <c r="Z34" i="14"/>
  <c r="V30" i="14"/>
  <c r="G44" i="4"/>
  <c r="J44" i="4"/>
  <c r="P44" i="4"/>
  <c r="P61" i="4"/>
  <c r="V47" i="3"/>
  <c r="P47" i="3"/>
  <c r="U47" i="3"/>
  <c r="O47" i="3"/>
  <c r="T47" i="3"/>
  <c r="L47" i="3"/>
  <c r="G42" i="4" s="1"/>
  <c r="N47" i="3"/>
  <c r="S47" i="3"/>
  <c r="K47" i="3"/>
  <c r="F42" i="4" s="1"/>
  <c r="M47" i="3"/>
  <c r="R47" i="3"/>
  <c r="J47" i="3"/>
  <c r="Q47" i="3"/>
  <c r="Q35" i="13"/>
  <c r="L31" i="14" s="1"/>
  <c r="S35" i="13"/>
  <c r="N31" i="14" s="1"/>
  <c r="U35" i="13"/>
  <c r="P31" i="14" s="1"/>
  <c r="W35" i="13"/>
  <c r="R31" i="14" s="1"/>
  <c r="Y35" i="13"/>
  <c r="T31" i="14" s="1"/>
  <c r="AA35" i="13"/>
  <c r="V31" i="14" s="1"/>
  <c r="P35" i="13"/>
  <c r="K31" i="14" s="1"/>
  <c r="R35" i="13"/>
  <c r="M31" i="14" s="1"/>
  <c r="T35" i="13"/>
  <c r="O31" i="14" s="1"/>
  <c r="V35" i="13"/>
  <c r="Q31" i="14" s="1"/>
  <c r="X35" i="13"/>
  <c r="S31" i="14" s="1"/>
  <c r="Z35" i="13"/>
  <c r="U31" i="14" s="1"/>
  <c r="AB35" i="13"/>
  <c r="O35" i="13"/>
  <c r="H22" i="14"/>
  <c r="E22" i="14"/>
  <c r="L10" i="14"/>
  <c r="L22" i="14"/>
  <c r="E40" i="3"/>
  <c r="I40" i="3"/>
  <c r="C40" i="3"/>
  <c r="C69" i="3" s="1"/>
  <c r="H40" i="3"/>
  <c r="G40" i="3"/>
  <c r="M40" i="3"/>
  <c r="K40" i="3"/>
  <c r="L40" i="3"/>
  <c r="O40" i="3"/>
  <c r="F40" i="3"/>
  <c r="N40" i="3"/>
  <c r="D40" i="3"/>
  <c r="J40" i="3"/>
  <c r="P40" i="3"/>
  <c r="U57" i="3"/>
  <c r="AD57" i="3"/>
  <c r="Y69" i="4" s="1"/>
  <c r="AC57" i="3"/>
  <c r="X69" i="4" s="1"/>
  <c r="AE57" i="3"/>
  <c r="Z69" i="4" s="1"/>
  <c r="W55" i="3"/>
  <c r="R67" i="4" s="1"/>
  <c r="Y55" i="3"/>
  <c r="T67" i="4" s="1"/>
  <c r="AE55" i="3"/>
  <c r="U55" i="3"/>
  <c r="P67" i="4" s="1"/>
  <c r="X55" i="3"/>
  <c r="S67" i="4" s="1"/>
  <c r="Z55" i="3"/>
  <c r="U67" i="4" s="1"/>
  <c r="AF55" i="3"/>
  <c r="S55" i="3"/>
  <c r="M25" i="13"/>
  <c r="P25" i="13"/>
  <c r="F25" i="13"/>
  <c r="I25" i="13"/>
  <c r="L25" i="13"/>
  <c r="O25" i="13"/>
  <c r="E25" i="13"/>
  <c r="K25" i="13"/>
  <c r="D25" i="13"/>
  <c r="J25" i="13"/>
  <c r="H25" i="13"/>
  <c r="N25" i="13"/>
  <c r="G25" i="13"/>
  <c r="V22" i="15"/>
  <c r="W29" i="11"/>
  <c r="X26" i="11"/>
  <c r="I29" i="13"/>
  <c r="D25" i="14" s="1"/>
  <c r="K29" i="13"/>
  <c r="F25" i="14" s="1"/>
  <c r="M29" i="13"/>
  <c r="H25" i="14" s="1"/>
  <c r="O29" i="13"/>
  <c r="J25" i="14" s="1"/>
  <c r="Q29" i="13"/>
  <c r="L25" i="14" s="1"/>
  <c r="S29" i="13"/>
  <c r="H29" i="13"/>
  <c r="J29" i="13"/>
  <c r="E25" i="14" s="1"/>
  <c r="N29" i="13"/>
  <c r="I25" i="14" s="1"/>
  <c r="R29" i="13"/>
  <c r="L29" i="13"/>
  <c r="G25" i="14" s="1"/>
  <c r="P29" i="13"/>
  <c r="K25" i="14" s="1"/>
  <c r="T29" i="13"/>
  <c r="D24" i="4"/>
  <c r="D39" i="4"/>
  <c r="D12" i="4"/>
  <c r="G12" i="4"/>
  <c r="G39" i="4"/>
  <c r="G24" i="4"/>
  <c r="E39" i="4"/>
  <c r="E12" i="4"/>
  <c r="E24" i="4"/>
  <c r="K24" i="4"/>
  <c r="K12" i="4"/>
  <c r="K39" i="4"/>
  <c r="K49" i="4" s="1"/>
  <c r="P78" i="3" s="1"/>
  <c r="I24" i="4"/>
  <c r="I12" i="4"/>
  <c r="I39" i="4"/>
  <c r="I49" i="4" s="1"/>
  <c r="N78" i="3" s="1"/>
  <c r="N39" i="4"/>
  <c r="N49" i="4" s="1"/>
  <c r="N24" i="4"/>
  <c r="N12" i="4"/>
  <c r="AA35" i="14"/>
  <c r="X34" i="14"/>
  <c r="AG34" i="14" s="1"/>
  <c r="Y34" i="14"/>
  <c r="AM38" i="13"/>
  <c r="AN38" i="13" s="1"/>
  <c r="M34" i="14"/>
  <c r="I30" i="14"/>
  <c r="AM34" i="13"/>
  <c r="AN34" i="13" s="1"/>
  <c r="U30" i="14"/>
  <c r="AG30" i="14" s="1"/>
  <c r="Q44" i="4"/>
  <c r="Q61" i="4"/>
  <c r="O61" i="4"/>
  <c r="R61" i="4"/>
  <c r="R44" i="4"/>
  <c r="M33" i="13"/>
  <c r="R33" i="13"/>
  <c r="M29" i="14" s="1"/>
  <c r="O33" i="13"/>
  <c r="J29" i="14" s="1"/>
  <c r="U33" i="13"/>
  <c r="N33" i="13"/>
  <c r="I29" i="14" s="1"/>
  <c r="P33" i="13"/>
  <c r="K29" i="14" s="1"/>
  <c r="T33" i="13"/>
  <c r="O29" i="14" s="1"/>
  <c r="V33" i="13"/>
  <c r="X33" i="13"/>
  <c r="Q33" i="13"/>
  <c r="L29" i="14" s="1"/>
  <c r="S33" i="13"/>
  <c r="N29" i="14" s="1"/>
  <c r="W33" i="13"/>
  <c r="Y33" i="13"/>
  <c r="I22" i="14"/>
  <c r="I10" i="14"/>
  <c r="C10" i="14"/>
  <c r="J10" i="14"/>
  <c r="J22" i="14"/>
  <c r="D22" i="14"/>
  <c r="Q53" i="3"/>
  <c r="L65" i="4" s="1"/>
  <c r="R53" i="3"/>
  <c r="M65" i="4" s="1"/>
  <c r="T53" i="3"/>
  <c r="O65" i="4" s="1"/>
  <c r="AD24" i="3"/>
  <c r="AD26" i="3" s="1"/>
  <c r="AD28" i="3" s="1"/>
  <c r="AD32" i="3" s="1"/>
  <c r="AD33" i="3" s="1"/>
  <c r="AE27" i="2"/>
  <c r="AE29" i="2" s="1"/>
  <c r="AE28" i="10" s="1"/>
  <c r="AE12" i="10" s="1"/>
  <c r="V25" i="16"/>
  <c r="AB63" i="3"/>
  <c r="W75" i="4" s="1"/>
  <c r="AC63" i="3"/>
  <c r="X75" i="4" s="1"/>
  <c r="AL63" i="3"/>
  <c r="AG75" i="4" s="1"/>
  <c r="AN63" i="3"/>
  <c r="AI75" i="4" s="1"/>
  <c r="AE63" i="3"/>
  <c r="Z75" i="4" s="1"/>
  <c r="AD63" i="3"/>
  <c r="AH63" i="3"/>
  <c r="AC75" i="4" s="1"/>
  <c r="AI63" i="3"/>
  <c r="AD75" i="4" s="1"/>
  <c r="AJ63" i="3"/>
  <c r="AE75" i="4" s="1"/>
  <c r="AK63" i="3"/>
  <c r="AF75" i="4" s="1"/>
  <c r="AM63" i="3"/>
  <c r="AH75" i="4" s="1"/>
  <c r="AG63" i="3"/>
  <c r="AB75" i="4" s="1"/>
  <c r="AF63" i="3"/>
  <c r="AA75" i="4" s="1"/>
  <c r="AA63" i="3"/>
  <c r="V75" i="4" s="1"/>
  <c r="W59" i="3"/>
  <c r="Y59" i="3"/>
  <c r="T71" i="4" s="1"/>
  <c r="AA59" i="3"/>
  <c r="V71" i="4" s="1"/>
  <c r="AC59" i="3"/>
  <c r="X71" i="4" s="1"/>
  <c r="AE59" i="3"/>
  <c r="Z71" i="4" s="1"/>
  <c r="AG59" i="3"/>
  <c r="AB71" i="4" s="1"/>
  <c r="AI59" i="3"/>
  <c r="AD71" i="4" s="1"/>
  <c r="X59" i="3"/>
  <c r="S71" i="4" s="1"/>
  <c r="Z59" i="3"/>
  <c r="U71" i="4" s="1"/>
  <c r="AB59" i="3"/>
  <c r="W71" i="4" s="1"/>
  <c r="AD59" i="3"/>
  <c r="Y71" i="4" s="1"/>
  <c r="AF59" i="3"/>
  <c r="AA71" i="4" s="1"/>
  <c r="AH59" i="3"/>
  <c r="AC71" i="4" s="1"/>
  <c r="AJ59" i="3"/>
  <c r="S46" i="3"/>
  <c r="N41" i="4" s="1"/>
  <c r="N58" i="4" s="1"/>
  <c r="P46" i="3"/>
  <c r="K41" i="4" s="1"/>
  <c r="K58" i="4" s="1"/>
  <c r="L46" i="3"/>
  <c r="G41" i="4" s="1"/>
  <c r="K56" i="25" l="1"/>
  <c r="L20" i="25" s="1"/>
  <c r="K44" i="4"/>
  <c r="N100" i="3"/>
  <c r="Y52" i="3"/>
  <c r="T64" i="4" s="1"/>
  <c r="M61" i="4"/>
  <c r="P37" i="3"/>
  <c r="P91" i="3" s="1"/>
  <c r="S37" i="3"/>
  <c r="S91" i="3" s="1"/>
  <c r="Y37" i="3"/>
  <c r="Y91" i="3" s="1"/>
  <c r="V37" i="3"/>
  <c r="V91" i="3" s="1"/>
  <c r="AA37" i="3"/>
  <c r="AA91" i="3" s="1"/>
  <c r="AT43" i="6"/>
  <c r="O37" i="3"/>
  <c r="O91" i="3" s="1"/>
  <c r="N35" i="3"/>
  <c r="P52" i="3"/>
  <c r="K64" i="4" s="1"/>
  <c r="T52" i="3"/>
  <c r="O64" i="4" s="1"/>
  <c r="G37" i="3"/>
  <c r="G91" i="3" s="1"/>
  <c r="L44" i="4"/>
  <c r="X37" i="3"/>
  <c r="X91" i="3" s="1"/>
  <c r="N37" i="3"/>
  <c r="N91" i="3" s="1"/>
  <c r="L37" i="3"/>
  <c r="L91" i="3" s="1"/>
  <c r="K37" i="3"/>
  <c r="K91" i="3" s="1"/>
  <c r="X52" i="3"/>
  <c r="S64" i="4" s="1"/>
  <c r="AT42" i="6"/>
  <c r="AQ65" i="3"/>
  <c r="O47" i="6"/>
  <c r="AT24" i="6"/>
  <c r="AU24" i="6" s="1"/>
  <c r="P47" i="6"/>
  <c r="S18" i="10" s="1"/>
  <c r="S39" i="17" s="1"/>
  <c r="AP44" i="6"/>
  <c r="AO44" i="6"/>
  <c r="N47" i="6"/>
  <c r="Q18" i="10" s="1"/>
  <c r="Q39" i="17" s="1"/>
  <c r="AM39" i="13"/>
  <c r="AN39" i="13" s="1"/>
  <c r="G10" i="14"/>
  <c r="F10" i="14"/>
  <c r="K22" i="14"/>
  <c r="AM26" i="13"/>
  <c r="AN26" i="13" s="1"/>
  <c r="AM30" i="13"/>
  <c r="AN30" i="13" s="1"/>
  <c r="Q48" i="3"/>
  <c r="M48" i="3"/>
  <c r="U48" i="3"/>
  <c r="P48" i="3"/>
  <c r="L48" i="3"/>
  <c r="G43" i="4" s="1"/>
  <c r="L45" i="3"/>
  <c r="M45" i="3"/>
  <c r="H25" i="4" s="1"/>
  <c r="U46" i="3"/>
  <c r="O46" i="3"/>
  <c r="J41" i="4" s="1"/>
  <c r="J58" i="4" s="1"/>
  <c r="AB53" i="3"/>
  <c r="P53" i="3"/>
  <c r="Q60" i="4"/>
  <c r="AD55" i="3"/>
  <c r="Y67" i="4" s="1"/>
  <c r="V55" i="3"/>
  <c r="Q67" i="4" s="1"/>
  <c r="AC55" i="3"/>
  <c r="X67" i="4" s="1"/>
  <c r="N44" i="4"/>
  <c r="J12" i="4"/>
  <c r="F12" i="4"/>
  <c r="J45" i="3"/>
  <c r="E25" i="4" s="1"/>
  <c r="R45" i="3"/>
  <c r="M25" i="4" s="1"/>
  <c r="AP64" i="3"/>
  <c r="AL76" i="4"/>
  <c r="AL77" i="4" s="1"/>
  <c r="R48" i="3"/>
  <c r="T48" i="3"/>
  <c r="O60" i="4" s="1"/>
  <c r="X48" i="3"/>
  <c r="S60" i="4" s="1"/>
  <c r="O48" i="3"/>
  <c r="S48" i="3"/>
  <c r="N46" i="3"/>
  <c r="I41" i="4" s="1"/>
  <c r="I58" i="4" s="1"/>
  <c r="M46" i="3"/>
  <c r="H41" i="4" s="1"/>
  <c r="Z53" i="3"/>
  <c r="U65" i="4" s="1"/>
  <c r="W53" i="3"/>
  <c r="R65" i="4" s="1"/>
  <c r="AB55" i="3"/>
  <c r="W67" i="4" s="1"/>
  <c r="T55" i="3"/>
  <c r="O67" i="4" s="1"/>
  <c r="K45" i="3"/>
  <c r="Q45" i="3"/>
  <c r="L40" i="4" s="1"/>
  <c r="L50" i="4" s="1"/>
  <c r="Q79" i="3" s="1"/>
  <c r="N48" i="3"/>
  <c r="K48" i="3"/>
  <c r="U52" i="3"/>
  <c r="P64" i="4" s="1"/>
  <c r="AA52" i="3"/>
  <c r="V64" i="4" s="1"/>
  <c r="V52" i="3"/>
  <c r="Q64" i="4" s="1"/>
  <c r="W52" i="3"/>
  <c r="R64" i="4" s="1"/>
  <c r="R52" i="3"/>
  <c r="M64" i="4" s="1"/>
  <c r="S52" i="3"/>
  <c r="N64" i="4" s="1"/>
  <c r="Z52" i="3"/>
  <c r="U64" i="4" s="1"/>
  <c r="Z13" i="13"/>
  <c r="Z11" i="12"/>
  <c r="Z9" i="12"/>
  <c r="Z21" i="15"/>
  <c r="Z10" i="15" s="1"/>
  <c r="AF30" i="17" s="1"/>
  <c r="Z10" i="13"/>
  <c r="AC16" i="6"/>
  <c r="AC17" i="6" s="1"/>
  <c r="AR46" i="6" s="1"/>
  <c r="AE34" i="3"/>
  <c r="AE35" i="3" s="1"/>
  <c r="AU68" i="3" s="1"/>
  <c r="AA31" i="11"/>
  <c r="Z18" i="13" s="1"/>
  <c r="AK76" i="4"/>
  <c r="AK77" i="4" s="1"/>
  <c r="G47" i="6"/>
  <c r="J18" i="10" s="1"/>
  <c r="J39" i="17" s="1"/>
  <c r="Q47" i="6"/>
  <c r="T18" i="10" s="1"/>
  <c r="T39" i="17" s="1"/>
  <c r="L51" i="6"/>
  <c r="L52" i="6" s="1"/>
  <c r="O16" i="8" s="1"/>
  <c r="O16" i="17" s="1"/>
  <c r="U21" i="13"/>
  <c r="U60" i="13" s="1"/>
  <c r="U19" i="13"/>
  <c r="V42" i="13" s="1"/>
  <c r="X53" i="3"/>
  <c r="S65" i="4" s="1"/>
  <c r="AA53" i="3"/>
  <c r="V65" i="4" s="1"/>
  <c r="U53" i="3"/>
  <c r="P65" i="4" s="1"/>
  <c r="I44" i="4"/>
  <c r="AN44" i="4" s="1"/>
  <c r="J39" i="4"/>
  <c r="J49" i="4" s="1"/>
  <c r="O78" i="3" s="1"/>
  <c r="F24" i="4"/>
  <c r="AN24" i="4" s="1"/>
  <c r="R60" i="4"/>
  <c r="S43" i="4"/>
  <c r="P45" i="3"/>
  <c r="U45" i="3"/>
  <c r="P25" i="4" s="1"/>
  <c r="P26" i="4" s="1"/>
  <c r="T45" i="3"/>
  <c r="R54" i="3"/>
  <c r="M66" i="4" s="1"/>
  <c r="Y54" i="3"/>
  <c r="T66" i="4" s="1"/>
  <c r="AD54" i="3"/>
  <c r="Y66" i="4" s="1"/>
  <c r="X54" i="3"/>
  <c r="S66" i="4" s="1"/>
  <c r="AC54" i="3"/>
  <c r="T54" i="3"/>
  <c r="O66" i="4" s="1"/>
  <c r="J46" i="3"/>
  <c r="E41" i="4" s="1"/>
  <c r="T46" i="3"/>
  <c r="O41" i="4" s="1"/>
  <c r="O58" i="4" s="1"/>
  <c r="K46" i="3"/>
  <c r="F41" i="4" s="1"/>
  <c r="R46" i="3"/>
  <c r="M41" i="4" s="1"/>
  <c r="M58" i="4" s="1"/>
  <c r="I46" i="3"/>
  <c r="D41" i="4" s="1"/>
  <c r="AE37" i="3"/>
  <c r="AE91" i="3" s="1"/>
  <c r="V53" i="3"/>
  <c r="Q65" i="4" s="1"/>
  <c r="Y53" i="3"/>
  <c r="T65" i="4" s="1"/>
  <c r="AV44" i="3"/>
  <c r="AW44" i="3" s="1"/>
  <c r="O45" i="3"/>
  <c r="H45" i="3"/>
  <c r="AV45" i="3" s="1"/>
  <c r="AW45" i="3" s="1"/>
  <c r="AA54" i="3"/>
  <c r="V66" i="4" s="1"/>
  <c r="U54" i="3"/>
  <c r="P66" i="4" s="1"/>
  <c r="F100" i="3"/>
  <c r="F35" i="3"/>
  <c r="F37" i="3"/>
  <c r="F91" i="3" s="1"/>
  <c r="AL44" i="6"/>
  <c r="F42" i="3"/>
  <c r="J42" i="3"/>
  <c r="N42" i="3"/>
  <c r="R42" i="3"/>
  <c r="K42" i="3"/>
  <c r="O42" i="3"/>
  <c r="H42" i="3"/>
  <c r="L42" i="3"/>
  <c r="P42" i="3"/>
  <c r="E42" i="3"/>
  <c r="I42" i="3"/>
  <c r="M42" i="3"/>
  <c r="Q42" i="3"/>
  <c r="G42" i="3"/>
  <c r="Y57" i="3"/>
  <c r="T69" i="4" s="1"/>
  <c r="AB57" i="3"/>
  <c r="W69" i="4" s="1"/>
  <c r="C32" i="17"/>
  <c r="C40" i="17" s="1"/>
  <c r="C44" i="17" s="1"/>
  <c r="C46" i="17" s="1"/>
  <c r="C19" i="10"/>
  <c r="Y51" i="3"/>
  <c r="T63" i="4" s="1"/>
  <c r="Q51" i="3"/>
  <c r="L63" i="4" s="1"/>
  <c r="X51" i="3"/>
  <c r="S63" i="4" s="1"/>
  <c r="P51" i="3"/>
  <c r="K63" i="4" s="1"/>
  <c r="T61" i="4"/>
  <c r="H61" i="4"/>
  <c r="W57" i="3"/>
  <c r="R69" i="4" s="1"/>
  <c r="AH57" i="3"/>
  <c r="AC69" i="4" s="1"/>
  <c r="Z57" i="3"/>
  <c r="U69" i="4" s="1"/>
  <c r="S61" i="4"/>
  <c r="AV49" i="3"/>
  <c r="AW49" i="3" s="1"/>
  <c r="C24" i="4"/>
  <c r="F43" i="4"/>
  <c r="O43" i="4"/>
  <c r="G41" i="3"/>
  <c r="D41" i="3"/>
  <c r="P41" i="3"/>
  <c r="M41" i="3"/>
  <c r="Q41" i="3"/>
  <c r="I41" i="3"/>
  <c r="F41" i="3"/>
  <c r="K41" i="3"/>
  <c r="J41" i="3"/>
  <c r="O41" i="3"/>
  <c r="L41" i="3"/>
  <c r="H41" i="3"/>
  <c r="E41" i="3"/>
  <c r="N41" i="3"/>
  <c r="T56" i="3"/>
  <c r="AB56" i="3"/>
  <c r="W68" i="4" s="1"/>
  <c r="W56" i="3"/>
  <c r="R68" i="4" s="1"/>
  <c r="AE56" i="3"/>
  <c r="Z68" i="4" s="1"/>
  <c r="V56" i="3"/>
  <c r="Q68" i="4" s="1"/>
  <c r="AD56" i="3"/>
  <c r="Y68" i="4" s="1"/>
  <c r="AG56" i="3"/>
  <c r="AB68" i="4" s="1"/>
  <c r="X56" i="3"/>
  <c r="S68" i="4" s="1"/>
  <c r="AF56" i="3"/>
  <c r="AA68" i="4" s="1"/>
  <c r="AA56" i="3"/>
  <c r="V68" i="4" s="1"/>
  <c r="Z56" i="3"/>
  <c r="U68" i="4" s="1"/>
  <c r="U56" i="3"/>
  <c r="P68" i="4" s="1"/>
  <c r="AC56" i="3"/>
  <c r="X68" i="4" s="1"/>
  <c r="Y56" i="3"/>
  <c r="T68" i="4" s="1"/>
  <c r="AM41" i="13"/>
  <c r="AN41" i="13" s="1"/>
  <c r="C17" i="9"/>
  <c r="C20" i="9" s="1"/>
  <c r="C8" i="9"/>
  <c r="C11" i="9" s="1"/>
  <c r="AA57" i="3"/>
  <c r="V69" i="4" s="1"/>
  <c r="W51" i="3"/>
  <c r="R63" i="4" s="1"/>
  <c r="O51" i="3"/>
  <c r="J63" i="4" s="1"/>
  <c r="V57" i="3"/>
  <c r="Q69" i="4" s="1"/>
  <c r="AG57" i="3"/>
  <c r="AB69" i="4" s="1"/>
  <c r="AF57" i="3"/>
  <c r="AA69" i="4" s="1"/>
  <c r="Y37" i="8"/>
  <c r="Y13" i="8" s="1"/>
  <c r="H13" i="19"/>
  <c r="AC64" i="3"/>
  <c r="X76" i="4" s="1"/>
  <c r="Y75" i="4"/>
  <c r="AN75" i="4" s="1"/>
  <c r="N51" i="6"/>
  <c r="N52" i="6" s="1"/>
  <c r="Q16" i="8" s="1"/>
  <c r="Q16" i="17" s="1"/>
  <c r="AE44" i="6"/>
  <c r="Y47" i="6"/>
  <c r="AB18" i="10" s="1"/>
  <c r="AB39" i="17" s="1"/>
  <c r="D16" i="18" s="1"/>
  <c r="T47" i="6"/>
  <c r="W18" i="10" s="1"/>
  <c r="W39" i="17" s="1"/>
  <c r="AF44" i="6"/>
  <c r="R18" i="10"/>
  <c r="R39" i="17" s="1"/>
  <c r="O51" i="6"/>
  <c r="O52" i="6" s="1"/>
  <c r="R16" i="8" s="1"/>
  <c r="R16" i="17" s="1"/>
  <c r="Z47" i="6"/>
  <c r="AC18" i="10" s="1"/>
  <c r="AC39" i="17" s="1"/>
  <c r="U47" i="6"/>
  <c r="X18" i="10" s="1"/>
  <c r="X39" i="17" s="1"/>
  <c r="V47" i="6"/>
  <c r="Y18" i="10" s="1"/>
  <c r="Y39" i="17" s="1"/>
  <c r="AT35" i="6"/>
  <c r="AU35" i="6" s="1"/>
  <c r="M51" i="6"/>
  <c r="M52" i="6" s="1"/>
  <c r="P16" i="8" s="1"/>
  <c r="P16" i="17" s="1"/>
  <c r="AU43" i="6"/>
  <c r="AU42" i="6"/>
  <c r="S47" i="6"/>
  <c r="V18" i="10" s="1"/>
  <c r="V39" i="17" s="1"/>
  <c r="AT31" i="6"/>
  <c r="AU31" i="6" s="1"/>
  <c r="D51" i="6"/>
  <c r="D52" i="6" s="1"/>
  <c r="G16" i="8" s="1"/>
  <c r="G16" i="17" s="1"/>
  <c r="H51" i="6"/>
  <c r="H52" i="6" s="1"/>
  <c r="K16" i="8" s="1"/>
  <c r="K16" i="17" s="1"/>
  <c r="C51" i="6"/>
  <c r="C52" i="6" s="1"/>
  <c r="F16" i="8" s="1"/>
  <c r="F16" i="17" s="1"/>
  <c r="G51" i="6"/>
  <c r="G52" i="6" s="1"/>
  <c r="J16" i="8" s="1"/>
  <c r="J16" i="17" s="1"/>
  <c r="F51" i="6"/>
  <c r="F52" i="6" s="1"/>
  <c r="I16" i="8" s="1"/>
  <c r="I16" i="17" s="1"/>
  <c r="F18" i="10"/>
  <c r="F39" i="17" s="1"/>
  <c r="E51" i="6"/>
  <c r="E52" i="6" s="1"/>
  <c r="H16" i="8" s="1"/>
  <c r="H16" i="17" s="1"/>
  <c r="K51" i="6"/>
  <c r="K52" i="6" s="1"/>
  <c r="N16" i="8" s="1"/>
  <c r="N16" i="17" s="1"/>
  <c r="J51" i="6"/>
  <c r="J52" i="6" s="1"/>
  <c r="M16" i="8" s="1"/>
  <c r="M16" i="17" s="1"/>
  <c r="I51" i="6"/>
  <c r="I52" i="6" s="1"/>
  <c r="L16" i="8" s="1"/>
  <c r="L16" i="17" s="1"/>
  <c r="X33" i="14"/>
  <c r="AG33" i="14" s="1"/>
  <c r="U44" i="13"/>
  <c r="U54" i="13" s="1"/>
  <c r="U56" i="13" s="1"/>
  <c r="Y33" i="14"/>
  <c r="M44" i="13"/>
  <c r="M54" i="13" s="1"/>
  <c r="M56" i="13" s="1"/>
  <c r="H8" i="14"/>
  <c r="H20" i="14" s="1"/>
  <c r="I44" i="13"/>
  <c r="I54" i="13" s="1"/>
  <c r="I56" i="13" s="1"/>
  <c r="D8" i="14"/>
  <c r="D20" i="14" s="1"/>
  <c r="R44" i="13"/>
  <c r="R54" i="13" s="1"/>
  <c r="R56" i="13" s="1"/>
  <c r="M11" i="14"/>
  <c r="M23" i="14"/>
  <c r="L11" i="14"/>
  <c r="L23" i="14"/>
  <c r="L44" i="13"/>
  <c r="L54" i="13" s="1"/>
  <c r="L56" i="13" s="1"/>
  <c r="G8" i="14"/>
  <c r="G20" i="14" s="1"/>
  <c r="E44" i="13"/>
  <c r="E54" i="13" s="1"/>
  <c r="E56" i="13" s="1"/>
  <c r="E23" i="15" s="1"/>
  <c r="T44" i="13"/>
  <c r="T54" i="13" s="1"/>
  <c r="T56" i="13" s="1"/>
  <c r="H23" i="14"/>
  <c r="H11" i="14"/>
  <c r="K11" i="14"/>
  <c r="K23" i="14"/>
  <c r="C11" i="14"/>
  <c r="C23" i="14"/>
  <c r="L33" i="14"/>
  <c r="AM37" i="13"/>
  <c r="AN37" i="13" s="1"/>
  <c r="N44" i="13"/>
  <c r="N54" i="13" s="1"/>
  <c r="N56" i="13" s="1"/>
  <c r="I8" i="14"/>
  <c r="I20" i="14" s="1"/>
  <c r="P44" i="13"/>
  <c r="P54" i="13" s="1"/>
  <c r="P56" i="13" s="1"/>
  <c r="K8" i="14"/>
  <c r="K20" i="14" s="1"/>
  <c r="H44" i="13"/>
  <c r="H54" i="13" s="1"/>
  <c r="H56" i="13" s="1"/>
  <c r="C8" i="14"/>
  <c r="I11" i="14"/>
  <c r="I23" i="14"/>
  <c r="AM27" i="13"/>
  <c r="AN27" i="13" s="1"/>
  <c r="J44" i="13"/>
  <c r="J54" i="13" s="1"/>
  <c r="J56" i="13" s="1"/>
  <c r="E8" i="14"/>
  <c r="E20" i="14" s="1"/>
  <c r="O44" i="13"/>
  <c r="O54" i="13" s="1"/>
  <c r="O56" i="13" s="1"/>
  <c r="J8" i="14"/>
  <c r="J20" i="14" s="1"/>
  <c r="E23" i="14"/>
  <c r="E11" i="14"/>
  <c r="D23" i="14"/>
  <c r="D11" i="14"/>
  <c r="Q44" i="13"/>
  <c r="Q54" i="13" s="1"/>
  <c r="Q56" i="13" s="1"/>
  <c r="K44" i="13"/>
  <c r="K54" i="13" s="1"/>
  <c r="K56" i="13" s="1"/>
  <c r="F8" i="14"/>
  <c r="F20" i="14" s="1"/>
  <c r="D44" i="13"/>
  <c r="G44" i="13"/>
  <c r="G54" i="13" s="1"/>
  <c r="G56" i="13" s="1"/>
  <c r="C44" i="13"/>
  <c r="AM24" i="13"/>
  <c r="AN24" i="13" s="1"/>
  <c r="F44" i="13"/>
  <c r="F54" i="13" s="1"/>
  <c r="F56" i="13" s="1"/>
  <c r="J11" i="14"/>
  <c r="J23" i="14"/>
  <c r="G11" i="14"/>
  <c r="G23" i="14"/>
  <c r="S44" i="13"/>
  <c r="S54" i="13" s="1"/>
  <c r="S56" i="13" s="1"/>
  <c r="N23" i="14"/>
  <c r="N11" i="14"/>
  <c r="F11" i="14"/>
  <c r="F23" i="14"/>
  <c r="U69" i="13"/>
  <c r="AB44" i="6"/>
  <c r="AN44" i="6"/>
  <c r="AM44" i="6"/>
  <c r="AI44" i="6"/>
  <c r="AH44" i="6"/>
  <c r="AD44" i="6"/>
  <c r="AK44" i="6"/>
  <c r="AB16" i="6"/>
  <c r="AB17" i="6" s="1"/>
  <c r="AD34" i="3"/>
  <c r="Z31" i="11"/>
  <c r="Y18" i="13" s="1"/>
  <c r="AJ44" i="6"/>
  <c r="AC44" i="6"/>
  <c r="AG44" i="6"/>
  <c r="AB37" i="3"/>
  <c r="AB91" i="3" s="1"/>
  <c r="AC37" i="3"/>
  <c r="AC91" i="3" s="1"/>
  <c r="AG65" i="3"/>
  <c r="AK65" i="3"/>
  <c r="AD65" i="3"/>
  <c r="G9" i="18"/>
  <c r="H9" i="18" s="1"/>
  <c r="J9" i="18"/>
  <c r="K9" i="18" s="1"/>
  <c r="AE65" i="3"/>
  <c r="AM65" i="3"/>
  <c r="AC65" i="3"/>
  <c r="AH65" i="3"/>
  <c r="AN65" i="3"/>
  <c r="AP65" i="3"/>
  <c r="AO65" i="3"/>
  <c r="AF65" i="3"/>
  <c r="AI65" i="3"/>
  <c r="AJ65" i="3"/>
  <c r="AL65" i="3"/>
  <c r="AB100" i="3"/>
  <c r="AO64" i="3"/>
  <c r="AL64" i="3"/>
  <c r="AN64" i="3"/>
  <c r="AM64" i="3"/>
  <c r="Z74" i="4"/>
  <c r="AN74" i="4" s="1"/>
  <c r="AA74" i="4"/>
  <c r="W8" i="12"/>
  <c r="W12" i="12" s="1"/>
  <c r="W14" i="12" s="1"/>
  <c r="V15" i="13"/>
  <c r="V16" i="13" s="1"/>
  <c r="W24" i="16"/>
  <c r="W8" i="16" s="1"/>
  <c r="AB8" i="17" s="1"/>
  <c r="D23" i="18" s="1"/>
  <c r="G23" i="18" s="1"/>
  <c r="H23" i="18" s="1"/>
  <c r="X12" i="11"/>
  <c r="W20" i="11"/>
  <c r="W9" i="13"/>
  <c r="AD45" i="17"/>
  <c r="AD23" i="17"/>
  <c r="Y16" i="16"/>
  <c r="Z34" i="11"/>
  <c r="AA34" i="11" s="1"/>
  <c r="AA47" i="6"/>
  <c r="AD18" i="10" s="1"/>
  <c r="AD39" i="17" s="1"/>
  <c r="AT40" i="6"/>
  <c r="AU40" i="6" s="1"/>
  <c r="X47" i="6"/>
  <c r="AT41" i="6"/>
  <c r="AU41" i="6" s="1"/>
  <c r="Y37" i="14"/>
  <c r="X37" i="14"/>
  <c r="AC37" i="14"/>
  <c r="AB37" i="14"/>
  <c r="S37" i="14"/>
  <c r="AG64" i="3"/>
  <c r="Q37" i="14"/>
  <c r="P37" i="14"/>
  <c r="R37" i="14"/>
  <c r="W37" i="14"/>
  <c r="Z37" i="14"/>
  <c r="AI64" i="3"/>
  <c r="U37" i="14"/>
  <c r="T37" i="14"/>
  <c r="V37" i="14"/>
  <c r="AA37" i="14"/>
  <c r="AH64" i="3"/>
  <c r="AK64" i="3"/>
  <c r="AB64" i="3"/>
  <c r="W76" i="4" s="1"/>
  <c r="AE64" i="3"/>
  <c r="Z76" i="4" s="1"/>
  <c r="AF64" i="3"/>
  <c r="AD64" i="3"/>
  <c r="Y76" i="4" s="1"/>
  <c r="AJ64" i="3"/>
  <c r="AC100" i="3"/>
  <c r="AV62" i="3"/>
  <c r="AW62" i="3" s="1"/>
  <c r="AC35" i="3"/>
  <c r="AS66" i="3" s="1"/>
  <c r="AV63" i="3"/>
  <c r="AW63" i="3" s="1"/>
  <c r="AA67" i="4"/>
  <c r="Z67" i="4"/>
  <c r="E69" i="3"/>
  <c r="E85" i="3" s="1"/>
  <c r="E87" i="3" s="1"/>
  <c r="AF72" i="4"/>
  <c r="AN72" i="4" s="1"/>
  <c r="X66" i="4"/>
  <c r="AN66" i="4" s="1"/>
  <c r="AV61" i="3"/>
  <c r="AW61" i="3" s="1"/>
  <c r="T73" i="4"/>
  <c r="AH73" i="4"/>
  <c r="AE71" i="4"/>
  <c r="AN71" i="4" s="1"/>
  <c r="W65" i="4"/>
  <c r="AN65" i="4" s="1"/>
  <c r="D69" i="3"/>
  <c r="D85" i="3" s="1"/>
  <c r="D87" i="3" s="1"/>
  <c r="AD70" i="4"/>
  <c r="AN70" i="4" s="1"/>
  <c r="AG73" i="4"/>
  <c r="AN73" i="4" s="1"/>
  <c r="Q70" i="4"/>
  <c r="AV58" i="3"/>
  <c r="AW58" i="3" s="1"/>
  <c r="J40" i="4"/>
  <c r="J50" i="4" s="1"/>
  <c r="O79" i="3" s="1"/>
  <c r="J25" i="4"/>
  <c r="N25" i="4"/>
  <c r="N40" i="4"/>
  <c r="N50" i="4" s="1"/>
  <c r="S79" i="3" s="1"/>
  <c r="H40" i="4"/>
  <c r="E40" i="4"/>
  <c r="K40" i="4"/>
  <c r="K50" i="4" s="1"/>
  <c r="P79" i="3" s="1"/>
  <c r="K25" i="4"/>
  <c r="D40" i="4"/>
  <c r="D25" i="4"/>
  <c r="P40" i="4"/>
  <c r="P50" i="4" s="1"/>
  <c r="O25" i="4"/>
  <c r="O26" i="4" s="1"/>
  <c r="O40" i="4"/>
  <c r="O50" i="4" s="1"/>
  <c r="T79" i="3" s="1"/>
  <c r="I40" i="4"/>
  <c r="I50" i="4" s="1"/>
  <c r="N79" i="3" s="1"/>
  <c r="I25" i="4"/>
  <c r="N50" i="3"/>
  <c r="I62" i="4" s="1"/>
  <c r="R50" i="3"/>
  <c r="M62" i="4" s="1"/>
  <c r="V50" i="3"/>
  <c r="Q62" i="4" s="1"/>
  <c r="M50" i="3"/>
  <c r="Q50" i="3"/>
  <c r="L62" i="4" s="1"/>
  <c r="U50" i="3"/>
  <c r="P62" i="4" s="1"/>
  <c r="Y50" i="3"/>
  <c r="P50" i="3"/>
  <c r="K62" i="4" s="1"/>
  <c r="T50" i="3"/>
  <c r="O62" i="4" s="1"/>
  <c r="X50" i="3"/>
  <c r="O50" i="3"/>
  <c r="J62" i="4" s="1"/>
  <c r="S50" i="3"/>
  <c r="N62" i="4" s="1"/>
  <c r="W50" i="3"/>
  <c r="AV60" i="3"/>
  <c r="AW60" i="3" s="1"/>
  <c r="S72" i="4"/>
  <c r="F40" i="4"/>
  <c r="F25" i="4"/>
  <c r="G25" i="4"/>
  <c r="G40" i="4"/>
  <c r="L25" i="4"/>
  <c r="W25" i="16"/>
  <c r="AD100" i="3"/>
  <c r="AD35" i="3"/>
  <c r="AT67" i="3" s="1"/>
  <c r="AG10" i="14"/>
  <c r="T29" i="14"/>
  <c r="S29" i="14"/>
  <c r="AM33" i="13"/>
  <c r="AN33" i="13" s="1"/>
  <c r="H29" i="14"/>
  <c r="M25" i="14"/>
  <c r="N25" i="14"/>
  <c r="W22" i="15"/>
  <c r="X29" i="11"/>
  <c r="X23" i="11" s="1"/>
  <c r="Y26" i="11"/>
  <c r="I21" i="14"/>
  <c r="I9" i="14"/>
  <c r="E21" i="14"/>
  <c r="E9" i="14"/>
  <c r="F21" i="14"/>
  <c r="F9" i="14"/>
  <c r="J21" i="14"/>
  <c r="J9" i="14"/>
  <c r="D21" i="14"/>
  <c r="D9" i="14"/>
  <c r="K21" i="14"/>
  <c r="K9" i="14"/>
  <c r="P69" i="4"/>
  <c r="E8" i="4"/>
  <c r="E20" i="4" s="1"/>
  <c r="I8" i="4"/>
  <c r="I20" i="4" s="1"/>
  <c r="J8" i="4"/>
  <c r="J20" i="4" s="1"/>
  <c r="F8" i="4"/>
  <c r="F20" i="4" s="1"/>
  <c r="AV40" i="3"/>
  <c r="AW40" i="3" s="1"/>
  <c r="AM35" i="13"/>
  <c r="AN35" i="13" s="1"/>
  <c r="J31" i="14"/>
  <c r="L42" i="4"/>
  <c r="L59" i="4"/>
  <c r="M59" i="4"/>
  <c r="M42" i="4"/>
  <c r="I42" i="4"/>
  <c r="I59" i="4"/>
  <c r="O59" i="4"/>
  <c r="O42" i="4"/>
  <c r="P59" i="4"/>
  <c r="P42" i="4"/>
  <c r="Q59" i="4"/>
  <c r="Q42" i="4"/>
  <c r="Q45" i="4" s="1"/>
  <c r="O49" i="4"/>
  <c r="H49" i="4"/>
  <c r="R45" i="4"/>
  <c r="AD37" i="3"/>
  <c r="AD91" i="3" s="1"/>
  <c r="H58" i="4"/>
  <c r="P41" i="4"/>
  <c r="AV59" i="3"/>
  <c r="AW59" i="3" s="1"/>
  <c r="R71" i="4"/>
  <c r="V9" i="16"/>
  <c r="V26" i="16"/>
  <c r="K65" i="4"/>
  <c r="R29" i="14"/>
  <c r="Q29" i="14"/>
  <c r="P29" i="14"/>
  <c r="S78" i="3"/>
  <c r="O25" i="14"/>
  <c r="O40" i="14" s="1"/>
  <c r="AM29" i="13"/>
  <c r="AN29" i="13" s="1"/>
  <c r="C25" i="14"/>
  <c r="C21" i="14"/>
  <c r="C9" i="14"/>
  <c r="AM25" i="13"/>
  <c r="AN25" i="13" s="1"/>
  <c r="G21" i="14"/>
  <c r="G9" i="14"/>
  <c r="H21" i="14"/>
  <c r="H9" i="14"/>
  <c r="AV55" i="3"/>
  <c r="AW55" i="3" s="1"/>
  <c r="N67" i="4"/>
  <c r="K8" i="4"/>
  <c r="K20" i="4" s="1"/>
  <c r="G8" i="4"/>
  <c r="G20" i="4" s="1"/>
  <c r="H8" i="4"/>
  <c r="H20" i="4" s="1"/>
  <c r="C8" i="4"/>
  <c r="D8" i="4"/>
  <c r="D20" i="4" s="1"/>
  <c r="W31" i="14"/>
  <c r="AG31" i="14" s="1"/>
  <c r="AV47" i="3"/>
  <c r="AW47" i="3" s="1"/>
  <c r="E42" i="4"/>
  <c r="H59" i="4"/>
  <c r="H42" i="4"/>
  <c r="N59" i="4"/>
  <c r="N42" i="4"/>
  <c r="J59" i="4"/>
  <c r="J42" i="4"/>
  <c r="K59" i="4"/>
  <c r="K42" i="4"/>
  <c r="AN12" i="4"/>
  <c r="L18" i="25" l="1"/>
  <c r="L27" i="25"/>
  <c r="AN68" i="4"/>
  <c r="AN69" i="4"/>
  <c r="AN67" i="4"/>
  <c r="AG37" i="14"/>
  <c r="AT44" i="6"/>
  <c r="AV53" i="3"/>
  <c r="AW53" i="3" s="1"/>
  <c r="V51" i="3"/>
  <c r="Q63" i="4" s="1"/>
  <c r="T51" i="3"/>
  <c r="O63" i="4" s="1"/>
  <c r="U51" i="3"/>
  <c r="P63" i="4" s="1"/>
  <c r="R51" i="3"/>
  <c r="M63" i="4" s="1"/>
  <c r="Z51" i="3"/>
  <c r="U63" i="4" s="1"/>
  <c r="N51" i="3"/>
  <c r="I63" i="4" s="1"/>
  <c r="S51" i="3"/>
  <c r="N63" i="4" s="1"/>
  <c r="AG29" i="14"/>
  <c r="AR47" i="6"/>
  <c r="AR66" i="3"/>
  <c r="AS67" i="3"/>
  <c r="X77" i="4"/>
  <c r="AU69" i="3"/>
  <c r="AT68" i="3"/>
  <c r="P51" i="6"/>
  <c r="P52" i="6" s="1"/>
  <c r="S16" i="8" s="1"/>
  <c r="S16" i="17" s="1"/>
  <c r="AQ45" i="6"/>
  <c r="AP45" i="6"/>
  <c r="K60" i="4"/>
  <c r="K43" i="4"/>
  <c r="AV48" i="3"/>
  <c r="AW48" i="3" s="1"/>
  <c r="J60" i="4"/>
  <c r="J43" i="4"/>
  <c r="M40" i="4"/>
  <c r="M50" i="4" s="1"/>
  <c r="R79" i="3" s="1"/>
  <c r="H43" i="4"/>
  <c r="H60" i="4"/>
  <c r="AV54" i="3"/>
  <c r="AW54" i="3" s="1"/>
  <c r="N60" i="4"/>
  <c r="N43" i="4"/>
  <c r="M43" i="4"/>
  <c r="M60" i="4"/>
  <c r="P60" i="4"/>
  <c r="P43" i="4"/>
  <c r="AV46" i="3"/>
  <c r="AW46" i="3" s="1"/>
  <c r="C25" i="4"/>
  <c r="I43" i="4"/>
  <c r="I60" i="4"/>
  <c r="AV52" i="3"/>
  <c r="AW52" i="3" s="1"/>
  <c r="L43" i="4"/>
  <c r="L60" i="4"/>
  <c r="AF45" i="17"/>
  <c r="AF23" i="17"/>
  <c r="AA16" i="16"/>
  <c r="AS68" i="3"/>
  <c r="AP68" i="3"/>
  <c r="AK68" i="3"/>
  <c r="AH68" i="3"/>
  <c r="AO68" i="3"/>
  <c r="AF68" i="3"/>
  <c r="AM68" i="3"/>
  <c r="AT69" i="3"/>
  <c r="AJ68" i="3"/>
  <c r="AR68" i="3"/>
  <c r="AI68" i="3"/>
  <c r="AQ68" i="3"/>
  <c r="AG68" i="3"/>
  <c r="AL68" i="3"/>
  <c r="AN68" i="3"/>
  <c r="AQ46" i="6"/>
  <c r="AQ47" i="6" s="1"/>
  <c r="AM46" i="6"/>
  <c r="AP46" i="6"/>
  <c r="AO46" i="6"/>
  <c r="AN46" i="6"/>
  <c r="AH46" i="6"/>
  <c r="AJ46" i="6"/>
  <c r="AD46" i="6"/>
  <c r="AT46" i="6" s="1"/>
  <c r="AU46" i="6" s="1"/>
  <c r="AI46" i="6"/>
  <c r="AL46" i="6"/>
  <c r="AK46" i="6"/>
  <c r="AE46" i="6"/>
  <c r="AG46" i="6"/>
  <c r="AF46" i="6"/>
  <c r="AB76" i="4"/>
  <c r="AB77" i="4" s="1"/>
  <c r="AE67" i="3"/>
  <c r="AA76" i="4"/>
  <c r="AA77" i="4" s="1"/>
  <c r="AC76" i="4"/>
  <c r="AC77" i="4" s="1"/>
  <c r="AJ76" i="4"/>
  <c r="AJ77" i="4" s="1"/>
  <c r="AG76" i="4"/>
  <c r="AG77" i="4" s="1"/>
  <c r="AD76" i="4"/>
  <c r="AD77" i="4" s="1"/>
  <c r="AH76" i="4"/>
  <c r="AH77" i="4" s="1"/>
  <c r="AF76" i="4"/>
  <c r="AF77" i="4" s="1"/>
  <c r="AE76" i="4"/>
  <c r="AE77" i="4" s="1"/>
  <c r="AI76" i="4"/>
  <c r="AI77" i="4" s="1"/>
  <c r="Q51" i="6"/>
  <c r="Q52" i="6" s="1"/>
  <c r="T16" i="8" s="1"/>
  <c r="T16" i="17" s="1"/>
  <c r="R51" i="6"/>
  <c r="R52" i="6" s="1"/>
  <c r="U16" i="8" s="1"/>
  <c r="U16" i="17" s="1"/>
  <c r="K40" i="14"/>
  <c r="W77" i="4"/>
  <c r="AN39" i="4"/>
  <c r="Z77" i="4"/>
  <c r="Y77" i="4"/>
  <c r="U77" i="4"/>
  <c r="Y42" i="13"/>
  <c r="AA42" i="13"/>
  <c r="Z42" i="13"/>
  <c r="AI42" i="13"/>
  <c r="W42" i="13"/>
  <c r="X42" i="13"/>
  <c r="AH42" i="13"/>
  <c r="N40" i="14"/>
  <c r="S45" i="4"/>
  <c r="Z69" i="3"/>
  <c r="Z85" i="3" s="1"/>
  <c r="Z87" i="3" s="1"/>
  <c r="AA27" i="10" s="1"/>
  <c r="O45" i="4"/>
  <c r="H43" i="3"/>
  <c r="I43" i="3"/>
  <c r="Q43" i="3"/>
  <c r="R43" i="3"/>
  <c r="M43" i="3"/>
  <c r="J43" i="3"/>
  <c r="O43" i="3"/>
  <c r="N43" i="3"/>
  <c r="P43" i="3"/>
  <c r="F43" i="3"/>
  <c r="F69" i="3" s="1"/>
  <c r="G43" i="3"/>
  <c r="G69" i="3" s="1"/>
  <c r="G85" i="3" s="1"/>
  <c r="G87" i="3" s="1"/>
  <c r="K43" i="3"/>
  <c r="L43" i="3"/>
  <c r="S43" i="3"/>
  <c r="S69" i="3" s="1"/>
  <c r="S85" i="3" s="1"/>
  <c r="F21" i="4"/>
  <c r="F36" i="4"/>
  <c r="F9" i="4"/>
  <c r="L10" i="4"/>
  <c r="L22" i="4"/>
  <c r="L37" i="4" s="1"/>
  <c r="L48" i="4" s="1"/>
  <c r="AV51" i="3"/>
  <c r="AW51" i="3" s="1"/>
  <c r="G9" i="4"/>
  <c r="G21" i="4"/>
  <c r="G36" i="4"/>
  <c r="M10" i="4"/>
  <c r="M22" i="4"/>
  <c r="M37" i="4" s="1"/>
  <c r="M48" i="4" s="1"/>
  <c r="N52" i="4"/>
  <c r="L69" i="3"/>
  <c r="L85" i="3" s="1"/>
  <c r="AB69" i="3"/>
  <c r="AB85" i="3" s="1"/>
  <c r="AB87" i="3" s="1"/>
  <c r="AB99" i="3" s="1"/>
  <c r="P40" i="14"/>
  <c r="L40" i="14"/>
  <c r="C22" i="9"/>
  <c r="D16" i="9"/>
  <c r="I21" i="4"/>
  <c r="I9" i="4"/>
  <c r="I36" i="4"/>
  <c r="I56" i="4"/>
  <c r="J56" i="4"/>
  <c r="J21" i="4"/>
  <c r="J9" i="4"/>
  <c r="J36" i="4"/>
  <c r="D9" i="4"/>
  <c r="D21" i="4"/>
  <c r="D36" i="4"/>
  <c r="AV41" i="3"/>
  <c r="AW41" i="3" s="1"/>
  <c r="D22" i="4"/>
  <c r="D10" i="4"/>
  <c r="C10" i="4"/>
  <c r="C22" i="4"/>
  <c r="I10" i="4"/>
  <c r="I22" i="4"/>
  <c r="I37" i="4" s="1"/>
  <c r="I48" i="4" s="1"/>
  <c r="N77" i="3" s="1"/>
  <c r="Z37" i="8"/>
  <c r="Z13" i="8" s="1"/>
  <c r="I13" i="19"/>
  <c r="C21" i="4"/>
  <c r="C9" i="4"/>
  <c r="H56" i="4"/>
  <c r="H21" i="4"/>
  <c r="H9" i="4"/>
  <c r="H36" i="4"/>
  <c r="K22" i="4"/>
  <c r="K37" i="4" s="1"/>
  <c r="K48" i="4" s="1"/>
  <c r="P77" i="3" s="1"/>
  <c r="K10" i="4"/>
  <c r="F22" i="4"/>
  <c r="F37" i="4" s="1"/>
  <c r="F10" i="4"/>
  <c r="AV57" i="3"/>
  <c r="AW57" i="3" s="1"/>
  <c r="M69" i="3"/>
  <c r="M85" i="3" s="1"/>
  <c r="AV56" i="3"/>
  <c r="AW56" i="3" s="1"/>
  <c r="O68" i="4"/>
  <c r="O77" i="4" s="1"/>
  <c r="K36" i="4"/>
  <c r="K21" i="4"/>
  <c r="K9" i="4"/>
  <c r="K56" i="4"/>
  <c r="H22" i="4"/>
  <c r="H37" i="4" s="1"/>
  <c r="H48" i="4" s="1"/>
  <c r="M77" i="3" s="1"/>
  <c r="H10" i="4"/>
  <c r="G22" i="4"/>
  <c r="G37" i="4" s="1"/>
  <c r="G10" i="4"/>
  <c r="AA69" i="3"/>
  <c r="AA85" i="3" s="1"/>
  <c r="AA87" i="3" s="1"/>
  <c r="AB27" i="10" s="1"/>
  <c r="K69" i="3"/>
  <c r="K85" i="3" s="1"/>
  <c r="V77" i="4"/>
  <c r="E9" i="4"/>
  <c r="E36" i="4"/>
  <c r="E21" i="4"/>
  <c r="L36" i="4"/>
  <c r="L21" i="4"/>
  <c r="L9" i="4"/>
  <c r="L56" i="4"/>
  <c r="AV42" i="3"/>
  <c r="AW42" i="3" s="1"/>
  <c r="J22" i="4"/>
  <c r="J37" i="4" s="1"/>
  <c r="J48" i="4" s="1"/>
  <c r="J10" i="4"/>
  <c r="E22" i="4"/>
  <c r="E37" i="4" s="1"/>
  <c r="E10" i="4"/>
  <c r="AD42" i="13"/>
  <c r="AF42" i="13"/>
  <c r="AB42" i="13"/>
  <c r="AE42" i="13"/>
  <c r="AG42" i="13"/>
  <c r="AC42" i="13"/>
  <c r="AC69" i="3"/>
  <c r="AC85" i="3" s="1"/>
  <c r="AC87" i="3" s="1"/>
  <c r="AC99" i="3" s="1"/>
  <c r="AC45" i="6"/>
  <c r="AE45" i="6"/>
  <c r="AI45" i="6"/>
  <c r="AM45" i="6"/>
  <c r="AG45" i="6"/>
  <c r="AG47" i="6" s="1"/>
  <c r="AF45" i="6"/>
  <c r="AF47" i="6" s="1"/>
  <c r="AJ45" i="6"/>
  <c r="AJ47" i="6" s="1"/>
  <c r="AN45" i="6"/>
  <c r="AO45" i="6"/>
  <c r="AD45" i="6"/>
  <c r="AH45" i="6"/>
  <c r="AL45" i="6"/>
  <c r="AK45" i="6"/>
  <c r="AK47" i="6" s="1"/>
  <c r="AU44" i="6"/>
  <c r="AB47" i="6"/>
  <c r="AE18" i="10" s="1"/>
  <c r="AE39" i="17" s="1"/>
  <c r="V51" i="6"/>
  <c r="V52" i="6" s="1"/>
  <c r="Y16" i="8" s="1"/>
  <c r="Y16" i="17" s="1"/>
  <c r="U51" i="6"/>
  <c r="U52" i="6" s="1"/>
  <c r="X16" i="8" s="1"/>
  <c r="X16" i="17" s="1"/>
  <c r="T51" i="6"/>
  <c r="T52" i="6" s="1"/>
  <c r="W16" i="8" s="1"/>
  <c r="W16" i="17" s="1"/>
  <c r="S51" i="6"/>
  <c r="S52" i="6" s="1"/>
  <c r="V16" i="8" s="1"/>
  <c r="V16" i="17" s="1"/>
  <c r="W51" i="6"/>
  <c r="W52" i="6" s="1"/>
  <c r="Z16" i="8" s="1"/>
  <c r="Z16" i="17" s="1"/>
  <c r="I40" i="14"/>
  <c r="S82" i="3"/>
  <c r="S86" i="3" s="1"/>
  <c r="Q77" i="4"/>
  <c r="I52" i="4"/>
  <c r="G68" i="13"/>
  <c r="G23" i="15"/>
  <c r="G11" i="15" s="1"/>
  <c r="G15" i="15" s="1"/>
  <c r="H17" i="16" s="1"/>
  <c r="D40" i="14"/>
  <c r="F23" i="15"/>
  <c r="F27" i="15" s="1"/>
  <c r="F68" i="13"/>
  <c r="C61" i="13"/>
  <c r="C64" i="13" s="1"/>
  <c r="C54" i="13"/>
  <c r="C56" i="13" s="1"/>
  <c r="AG8" i="14"/>
  <c r="C20" i="14"/>
  <c r="C40" i="14" s="1"/>
  <c r="AG11" i="14"/>
  <c r="E68" i="13"/>
  <c r="F40" i="14"/>
  <c r="G40" i="14"/>
  <c r="E40" i="14"/>
  <c r="M40" i="14"/>
  <c r="AA51" i="6"/>
  <c r="AA52" i="6" s="1"/>
  <c r="AD16" i="8" s="1"/>
  <c r="AD16" i="17" s="1"/>
  <c r="AV65" i="3"/>
  <c r="AW65" i="3" s="1"/>
  <c r="AV64" i="3"/>
  <c r="AW64" i="3" s="1"/>
  <c r="W24" i="15"/>
  <c r="W12" i="15" s="1"/>
  <c r="AC32" i="17" s="1"/>
  <c r="W12" i="13"/>
  <c r="W14" i="13" s="1"/>
  <c r="X19" i="11"/>
  <c r="X11" i="11"/>
  <c r="V19" i="13"/>
  <c r="V21" i="13"/>
  <c r="V60" i="13" s="1"/>
  <c r="V69" i="13"/>
  <c r="Z16" i="16"/>
  <c r="AE23" i="17"/>
  <c r="AE45" i="17"/>
  <c r="AA18" i="10"/>
  <c r="AA39" i="17" s="1"/>
  <c r="E16" i="18" s="1"/>
  <c r="X51" i="6"/>
  <c r="X52" i="6" s="1"/>
  <c r="AA16" i="8" s="1"/>
  <c r="AA16" i="17" s="1"/>
  <c r="E31" i="18" s="1"/>
  <c r="Y51" i="6"/>
  <c r="Y52" i="6" s="1"/>
  <c r="AB16" i="8" s="1"/>
  <c r="AB16" i="17" s="1"/>
  <c r="D31" i="18" s="1"/>
  <c r="Z51" i="6"/>
  <c r="Z52" i="6" s="1"/>
  <c r="AC16" i="8" s="1"/>
  <c r="AC16" i="17" s="1"/>
  <c r="AH66" i="3"/>
  <c r="AG66" i="3"/>
  <c r="AN66" i="3"/>
  <c r="AE66" i="3"/>
  <c r="AJ66" i="3"/>
  <c r="AL66" i="3"/>
  <c r="AI66" i="3"/>
  <c r="AK66" i="3"/>
  <c r="AQ66" i="3"/>
  <c r="AM66" i="3"/>
  <c r="AP66" i="3"/>
  <c r="AF66" i="3"/>
  <c r="AO66" i="3"/>
  <c r="AD66" i="3"/>
  <c r="AD69" i="3" s="1"/>
  <c r="H40" i="14"/>
  <c r="J40" i="14"/>
  <c r="AG67" i="3"/>
  <c r="AI67" i="3"/>
  <c r="AK67" i="3"/>
  <c r="AM67" i="3"/>
  <c r="AO67" i="3"/>
  <c r="AQ67" i="3"/>
  <c r="AF67" i="3"/>
  <c r="AH67" i="3"/>
  <c r="AJ67" i="3"/>
  <c r="AL67" i="3"/>
  <c r="AN67" i="3"/>
  <c r="AR67" i="3"/>
  <c r="AP67" i="3"/>
  <c r="E27" i="10"/>
  <c r="E11" i="10" s="1"/>
  <c r="D99" i="3"/>
  <c r="E99" i="3"/>
  <c r="F27" i="10"/>
  <c r="F32" i="10" s="1"/>
  <c r="S62" i="4"/>
  <c r="S77" i="4" s="1"/>
  <c r="X69" i="3"/>
  <c r="X85" i="3" s="1"/>
  <c r="X87" i="3" s="1"/>
  <c r="Y27" i="10" s="1"/>
  <c r="U69" i="3"/>
  <c r="U85" i="3" s="1"/>
  <c r="O69" i="3"/>
  <c r="O85" i="3" s="1"/>
  <c r="T69" i="3"/>
  <c r="T85" i="3" s="1"/>
  <c r="R69" i="3"/>
  <c r="R85" i="3" s="1"/>
  <c r="R62" i="4"/>
  <c r="R77" i="4" s="1"/>
  <c r="W69" i="3"/>
  <c r="W85" i="3" s="1"/>
  <c r="W87" i="3" s="1"/>
  <c r="X27" i="10" s="1"/>
  <c r="T62" i="4"/>
  <c r="T77" i="4" s="1"/>
  <c r="Y69" i="3"/>
  <c r="V69" i="3"/>
  <c r="V85" i="3" s="1"/>
  <c r="V87" i="3" s="1"/>
  <c r="V99" i="3" s="1"/>
  <c r="N69" i="3"/>
  <c r="N85" i="3" s="1"/>
  <c r="Q69" i="3"/>
  <c r="Y85" i="3"/>
  <c r="Y87" i="3" s="1"/>
  <c r="Y99" i="3" s="1"/>
  <c r="AV50" i="3"/>
  <c r="AW50" i="3" s="1"/>
  <c r="H62" i="4"/>
  <c r="P52" i="4"/>
  <c r="U79" i="3"/>
  <c r="U82" i="3" s="1"/>
  <c r="U86" i="3" s="1"/>
  <c r="AN25" i="4"/>
  <c r="AN40" i="4"/>
  <c r="H50" i="4"/>
  <c r="X25" i="16"/>
  <c r="X9" i="16" s="1"/>
  <c r="AC11" i="17" s="1"/>
  <c r="AN42" i="4"/>
  <c r="K29" i="4"/>
  <c r="L68" i="13"/>
  <c r="L23" i="15"/>
  <c r="D54" i="13"/>
  <c r="D56" i="13" s="1"/>
  <c r="L61" i="13"/>
  <c r="L64" i="13" s="1"/>
  <c r="D61" i="13"/>
  <c r="D64" i="13" s="1"/>
  <c r="F61" i="13"/>
  <c r="F64" i="13" s="1"/>
  <c r="H61" i="13"/>
  <c r="H64" i="13" s="1"/>
  <c r="J61" i="13"/>
  <c r="J64" i="13" s="1"/>
  <c r="E61" i="13"/>
  <c r="E64" i="13" s="1"/>
  <c r="G61" i="13"/>
  <c r="G64" i="13" s="1"/>
  <c r="I61" i="13"/>
  <c r="I64" i="13" s="1"/>
  <c r="M61" i="13"/>
  <c r="M64" i="13" s="1"/>
  <c r="K61" i="13"/>
  <c r="K64" i="13" s="1"/>
  <c r="R61" i="13"/>
  <c r="R64" i="13" s="1"/>
  <c r="Q61" i="13"/>
  <c r="Q64" i="13" s="1"/>
  <c r="O61" i="13"/>
  <c r="O64" i="13" s="1"/>
  <c r="T61" i="13"/>
  <c r="T64" i="13" s="1"/>
  <c r="U61" i="13"/>
  <c r="U64" i="13" s="1"/>
  <c r="S61" i="13"/>
  <c r="S64" i="13" s="1"/>
  <c r="N61" i="13"/>
  <c r="N64" i="13" s="1"/>
  <c r="P61" i="13"/>
  <c r="P64" i="13" s="1"/>
  <c r="AG9" i="14"/>
  <c r="U23" i="15"/>
  <c r="U68" i="13"/>
  <c r="AA11" i="17"/>
  <c r="P58" i="4"/>
  <c r="P77" i="4" s="1"/>
  <c r="P45" i="4"/>
  <c r="AN41" i="4"/>
  <c r="AN49" i="4"/>
  <c r="M78" i="3"/>
  <c r="O52" i="4"/>
  <c r="T78" i="3"/>
  <c r="T82" i="3" s="1"/>
  <c r="T86" i="3" s="1"/>
  <c r="F29" i="4"/>
  <c r="J29" i="4"/>
  <c r="I29" i="4"/>
  <c r="E29" i="4"/>
  <c r="P23" i="15"/>
  <c r="P68" i="13"/>
  <c r="O23" i="15"/>
  <c r="O68" i="13"/>
  <c r="J23" i="15"/>
  <c r="J68" i="13"/>
  <c r="R23" i="15"/>
  <c r="R68" i="13"/>
  <c r="W9" i="16"/>
  <c r="W26" i="16"/>
  <c r="Q23" i="15"/>
  <c r="Q68" i="13"/>
  <c r="AN20" i="4"/>
  <c r="D29" i="4"/>
  <c r="AN8" i="4"/>
  <c r="C20" i="4"/>
  <c r="H29" i="4"/>
  <c r="H35" i="4" s="1"/>
  <c r="G29" i="4"/>
  <c r="M23" i="15"/>
  <c r="M68" i="13"/>
  <c r="E27" i="15"/>
  <c r="E11" i="15"/>
  <c r="E15" i="15" s="1"/>
  <c r="F17" i="16" s="1"/>
  <c r="H23" i="15"/>
  <c r="H68" i="13"/>
  <c r="G27" i="15"/>
  <c r="T68" i="13"/>
  <c r="T23" i="15"/>
  <c r="C85" i="3"/>
  <c r="C87" i="3" s="1"/>
  <c r="C92" i="3"/>
  <c r="C95" i="3" s="1"/>
  <c r="D34" i="8" s="1"/>
  <c r="D92" i="3"/>
  <c r="D95" i="3" s="1"/>
  <c r="E34" i="8" s="1"/>
  <c r="E92" i="3"/>
  <c r="E95" i="3" s="1"/>
  <c r="F34" i="8" s="1"/>
  <c r="I68" i="13"/>
  <c r="I23" i="15"/>
  <c r="K68" i="13"/>
  <c r="K23" i="15"/>
  <c r="N68" i="13"/>
  <c r="N23" i="15"/>
  <c r="Z26" i="11"/>
  <c r="AA26" i="11" s="1"/>
  <c r="X22" i="15"/>
  <c r="Y29" i="11"/>
  <c r="Y23" i="11" s="1"/>
  <c r="S68" i="13"/>
  <c r="S23" i="15"/>
  <c r="L32" i="25" l="1"/>
  <c r="L42" i="25" s="1"/>
  <c r="L48" i="25"/>
  <c r="L49" i="25"/>
  <c r="AC43" i="13"/>
  <c r="Y43" i="13"/>
  <c r="AL43" i="13"/>
  <c r="AL44" i="13" s="1"/>
  <c r="AB43" i="13"/>
  <c r="X43" i="13"/>
  <c r="AK43" i="13"/>
  <c r="AA43" i="13"/>
  <c r="W43" i="13"/>
  <c r="Z43" i="13"/>
  <c r="AN43" i="4"/>
  <c r="E26" i="18"/>
  <c r="AT45" i="6"/>
  <c r="AR69" i="3"/>
  <c r="AV68" i="3"/>
  <c r="AW68" i="3" s="1"/>
  <c r="AN76" i="4"/>
  <c r="AH47" i="6"/>
  <c r="AP47" i="6"/>
  <c r="AL47" i="6"/>
  <c r="AM47" i="6"/>
  <c r="AA99" i="3"/>
  <c r="AL69" i="3"/>
  <c r="X99" i="3"/>
  <c r="W27" i="10"/>
  <c r="W11" i="10" s="1"/>
  <c r="AN47" i="6"/>
  <c r="AI47" i="6"/>
  <c r="AS69" i="3"/>
  <c r="AA29" i="11"/>
  <c r="Z22" i="15"/>
  <c r="AD47" i="6"/>
  <c r="AE47" i="6"/>
  <c r="AO47" i="6"/>
  <c r="AH43" i="13"/>
  <c r="AG43" i="13"/>
  <c r="AJ43" i="13"/>
  <c r="AF43" i="13"/>
  <c r="AI43" i="13"/>
  <c r="AE43" i="13"/>
  <c r="AD43" i="13"/>
  <c r="AF69" i="3"/>
  <c r="AC27" i="10"/>
  <c r="AK69" i="3"/>
  <c r="AH69" i="3"/>
  <c r="AQ69" i="3"/>
  <c r="AD27" i="10"/>
  <c r="AD11" i="10" s="1"/>
  <c r="AP69" i="3"/>
  <c r="AI69" i="3"/>
  <c r="AN69" i="3"/>
  <c r="AO69" i="3"/>
  <c r="AJ69" i="3"/>
  <c r="AM69" i="3"/>
  <c r="AG69" i="3"/>
  <c r="AN77" i="4"/>
  <c r="AB51" i="6"/>
  <c r="AB52" i="6" s="1"/>
  <c r="AE16" i="8" s="1"/>
  <c r="AE16" i="17" s="1"/>
  <c r="Z99" i="3"/>
  <c r="H27" i="10"/>
  <c r="H11" i="10" s="1"/>
  <c r="G99" i="3"/>
  <c r="F85" i="3"/>
  <c r="F87" i="3" s="1"/>
  <c r="F92" i="3"/>
  <c r="F95" i="3" s="1"/>
  <c r="G34" i="8" s="1"/>
  <c r="G92" i="3"/>
  <c r="G95" i="3" s="1"/>
  <c r="H34" i="8" s="1"/>
  <c r="G11" i="4"/>
  <c r="G38" i="4"/>
  <c r="G23" i="4"/>
  <c r="G26" i="4" s="1"/>
  <c r="K38" i="4"/>
  <c r="K57" i="4"/>
  <c r="K23" i="4"/>
  <c r="K26" i="4" s="1"/>
  <c r="K11" i="4"/>
  <c r="H57" i="4"/>
  <c r="H77" i="4" s="1"/>
  <c r="H38" i="4"/>
  <c r="H11" i="4"/>
  <c r="H23" i="4"/>
  <c r="H26" i="4" s="1"/>
  <c r="C11" i="4"/>
  <c r="C23" i="4"/>
  <c r="C26" i="4" s="1"/>
  <c r="H69" i="3"/>
  <c r="H85" i="3" s="1"/>
  <c r="H87" i="3" s="1"/>
  <c r="F38" i="4"/>
  <c r="F23" i="4"/>
  <c r="F26" i="4" s="1"/>
  <c r="F11" i="4"/>
  <c r="I23" i="4"/>
  <c r="I26" i="4" s="1"/>
  <c r="I11" i="4"/>
  <c r="I38" i="4"/>
  <c r="I57" i="4"/>
  <c r="I77" i="4" s="1"/>
  <c r="M57" i="4"/>
  <c r="M77" i="4" s="1"/>
  <c r="M11" i="4"/>
  <c r="M23" i="4"/>
  <c r="M26" i="4" s="1"/>
  <c r="M38" i="4"/>
  <c r="M45" i="4" s="1"/>
  <c r="J11" i="4"/>
  <c r="J23" i="4"/>
  <c r="J26" i="4" s="1"/>
  <c r="J57" i="4"/>
  <c r="J77" i="4" s="1"/>
  <c r="J38" i="4"/>
  <c r="L11" i="4"/>
  <c r="L38" i="4"/>
  <c r="L45" i="4" s="1"/>
  <c r="L57" i="4"/>
  <c r="L23" i="4"/>
  <c r="L26" i="4" s="1"/>
  <c r="H52" i="4"/>
  <c r="P69" i="3"/>
  <c r="P85" i="3" s="1"/>
  <c r="L77" i="4"/>
  <c r="K77" i="4"/>
  <c r="N23" i="4"/>
  <c r="N26" i="4" s="1"/>
  <c r="N11" i="4"/>
  <c r="N38" i="4"/>
  <c r="N45" i="4" s="1"/>
  <c r="N57" i="4"/>
  <c r="N77" i="4" s="1"/>
  <c r="AV43" i="3"/>
  <c r="AW43" i="3" s="1"/>
  <c r="E11" i="4"/>
  <c r="E38" i="4"/>
  <c r="J69" i="3"/>
  <c r="J85" i="3" s="1"/>
  <c r="E23" i="4"/>
  <c r="E26" i="4" s="1"/>
  <c r="D23" i="4"/>
  <c r="D38" i="4"/>
  <c r="D11" i="4"/>
  <c r="I69" i="3"/>
  <c r="I85" i="3" s="1"/>
  <c r="J13" i="19"/>
  <c r="AA37" i="8"/>
  <c r="AA13" i="8" s="1"/>
  <c r="Z27" i="10"/>
  <c r="Z11" i="10" s="1"/>
  <c r="J52" i="4"/>
  <c r="O77" i="3"/>
  <c r="AN10" i="4"/>
  <c r="C32" i="9"/>
  <c r="C38" i="8"/>
  <c r="L52" i="4"/>
  <c r="Q77" i="3"/>
  <c r="Q82" i="3" s="1"/>
  <c r="Q86" i="3" s="1"/>
  <c r="W99" i="3"/>
  <c r="F11" i="15"/>
  <c r="F15" i="15" s="1"/>
  <c r="G17" i="16" s="1"/>
  <c r="E32" i="10"/>
  <c r="E17" i="9" s="1"/>
  <c r="AN36" i="4"/>
  <c r="AN9" i="4"/>
  <c r="AN21" i="4"/>
  <c r="O92" i="3"/>
  <c r="F11" i="10"/>
  <c r="F31" i="17" s="1"/>
  <c r="S87" i="3"/>
  <c r="S99" i="3" s="1"/>
  <c r="K52" i="4"/>
  <c r="AN22" i="4"/>
  <c r="D37" i="4"/>
  <c r="AN37" i="4"/>
  <c r="AM42" i="13"/>
  <c r="AN42" i="13" s="1"/>
  <c r="X38" i="14"/>
  <c r="Z38" i="14"/>
  <c r="AA38" i="14"/>
  <c r="AC38" i="14"/>
  <c r="AB38" i="14"/>
  <c r="AD38" i="14"/>
  <c r="Q38" i="14"/>
  <c r="V44" i="13"/>
  <c r="R38" i="14"/>
  <c r="S38" i="14"/>
  <c r="U38" i="14"/>
  <c r="T38" i="14"/>
  <c r="V38" i="14"/>
  <c r="W38" i="14"/>
  <c r="Y38" i="14"/>
  <c r="AD85" i="3"/>
  <c r="AD87" i="3" s="1"/>
  <c r="AD99" i="3" s="1"/>
  <c r="AU45" i="6"/>
  <c r="AC47" i="6"/>
  <c r="G31" i="18"/>
  <c r="H31" i="18" s="1"/>
  <c r="G16" i="18"/>
  <c r="H16" i="18" s="1"/>
  <c r="J16" i="18"/>
  <c r="K16" i="18" s="1"/>
  <c r="C68" i="13"/>
  <c r="C71" i="13" s="1"/>
  <c r="C23" i="15"/>
  <c r="D67" i="13"/>
  <c r="D27" i="16"/>
  <c r="AG13" i="14"/>
  <c r="AE69" i="3"/>
  <c r="X8" i="12"/>
  <c r="X12" i="12" s="1"/>
  <c r="X14" i="12" s="1"/>
  <c r="X24" i="16"/>
  <c r="X8" i="16" s="1"/>
  <c r="AC8" i="17" s="1"/>
  <c r="Y12" i="11"/>
  <c r="Y19" i="11" s="1"/>
  <c r="W15" i="13"/>
  <c r="W16" i="13" s="1"/>
  <c r="X20" i="11"/>
  <c r="X9" i="13"/>
  <c r="Z29" i="11"/>
  <c r="Z23" i="11" s="1"/>
  <c r="Z25" i="16" s="1"/>
  <c r="Z9" i="16" s="1"/>
  <c r="AE11" i="17" s="1"/>
  <c r="Y22" i="15"/>
  <c r="AV66" i="3"/>
  <c r="AW66" i="3" s="1"/>
  <c r="U87" i="3"/>
  <c r="V27" i="10" s="1"/>
  <c r="V32" i="10" s="1"/>
  <c r="AV67" i="3"/>
  <c r="AW67" i="3" s="1"/>
  <c r="U92" i="3"/>
  <c r="T87" i="3"/>
  <c r="U27" i="10" s="1"/>
  <c r="AN50" i="4"/>
  <c r="M79" i="3"/>
  <c r="Q85" i="3"/>
  <c r="Y25" i="16"/>
  <c r="Y9" i="16" s="1"/>
  <c r="AD11" i="17" s="1"/>
  <c r="R77" i="3"/>
  <c r="R82" i="3" s="1"/>
  <c r="R86" i="3" s="1"/>
  <c r="R87" i="3" s="1"/>
  <c r="M52" i="4"/>
  <c r="E36" i="8"/>
  <c r="E11" i="8"/>
  <c r="D27" i="10"/>
  <c r="C99" i="3"/>
  <c r="C102" i="3" s="1"/>
  <c r="D98" i="3" s="1"/>
  <c r="D102" i="3" s="1"/>
  <c r="E98" i="3" s="1"/>
  <c r="E102" i="3" s="1"/>
  <c r="F98" i="3" s="1"/>
  <c r="AB32" i="10"/>
  <c r="AB11" i="10"/>
  <c r="H27" i="15"/>
  <c r="H11" i="15"/>
  <c r="H15" i="15" s="1"/>
  <c r="I17" i="16" s="1"/>
  <c r="M11" i="15"/>
  <c r="M15" i="15" s="1"/>
  <c r="M27" i="15"/>
  <c r="L75" i="3"/>
  <c r="L82" i="3" s="1"/>
  <c r="L86" i="3" s="1"/>
  <c r="L87" i="3" s="1"/>
  <c r="G31" i="4"/>
  <c r="H45" i="4"/>
  <c r="I75" i="3"/>
  <c r="I82" i="3" s="1"/>
  <c r="D31" i="4"/>
  <c r="AC11" i="10"/>
  <c r="AC32" i="10"/>
  <c r="J75" i="3"/>
  <c r="J82" i="3" s="1"/>
  <c r="J86" i="3" s="1"/>
  <c r="J87" i="3" s="1"/>
  <c r="E31" i="4"/>
  <c r="N75" i="3"/>
  <c r="N82" i="3" s="1"/>
  <c r="N86" i="3" s="1"/>
  <c r="N87" i="3" s="1"/>
  <c r="I31" i="4"/>
  <c r="J31" i="4"/>
  <c r="O75" i="3"/>
  <c r="F31" i="4"/>
  <c r="K75" i="3"/>
  <c r="K82" i="3" s="1"/>
  <c r="K86" i="3" s="1"/>
  <c r="K87" i="3" s="1"/>
  <c r="H32" i="10"/>
  <c r="W32" i="10"/>
  <c r="X11" i="10"/>
  <c r="X32" i="10"/>
  <c r="U11" i="15"/>
  <c r="U15" i="15" s="1"/>
  <c r="U27" i="15"/>
  <c r="Q67" i="13"/>
  <c r="Q71" i="13" s="1"/>
  <c r="Q27" i="16"/>
  <c r="T67" i="13"/>
  <c r="T71" i="13" s="1"/>
  <c r="T73" i="13" s="1"/>
  <c r="T27" i="16"/>
  <c r="Q73" i="13"/>
  <c r="R67" i="13"/>
  <c r="R71" i="13" s="1"/>
  <c r="R73" i="13" s="1"/>
  <c r="R27" i="16"/>
  <c r="N67" i="13"/>
  <c r="N71" i="13" s="1"/>
  <c r="N73" i="13" s="1"/>
  <c r="N27" i="16"/>
  <c r="H67" i="13"/>
  <c r="H71" i="13" s="1"/>
  <c r="H73" i="13" s="1"/>
  <c r="H27" i="16"/>
  <c r="K67" i="13"/>
  <c r="K71" i="13" s="1"/>
  <c r="K73" i="13" s="1"/>
  <c r="K27" i="16"/>
  <c r="G67" i="13"/>
  <c r="G71" i="13" s="1"/>
  <c r="G73" i="13" s="1"/>
  <c r="G27" i="16"/>
  <c r="M27" i="16"/>
  <c r="M67" i="13"/>
  <c r="M71" i="13" s="1"/>
  <c r="M73" i="13" s="1"/>
  <c r="L11" i="15"/>
  <c r="L15" i="15" s="1"/>
  <c r="L27" i="15"/>
  <c r="P75" i="3"/>
  <c r="P82" i="3" s="1"/>
  <c r="P86" i="3" s="1"/>
  <c r="K31" i="4"/>
  <c r="E8" i="9"/>
  <c r="Y32" i="10"/>
  <c r="Y11" i="10"/>
  <c r="S11" i="15"/>
  <c r="S15" i="15" s="1"/>
  <c r="S27" i="15"/>
  <c r="N11" i="15"/>
  <c r="N15" i="15" s="1"/>
  <c r="N27" i="15"/>
  <c r="K11" i="15"/>
  <c r="K15" i="15" s="1"/>
  <c r="K27" i="15"/>
  <c r="I11" i="15"/>
  <c r="I15" i="15" s="1"/>
  <c r="I27" i="15"/>
  <c r="F11" i="8"/>
  <c r="F36" i="8"/>
  <c r="D11" i="8"/>
  <c r="D36" i="8"/>
  <c r="G36" i="8"/>
  <c r="G11" i="8"/>
  <c r="H11" i="8"/>
  <c r="H36" i="8"/>
  <c r="T11" i="15"/>
  <c r="T15" i="15" s="1"/>
  <c r="T35" i="15" s="1"/>
  <c r="T27" i="15"/>
  <c r="G35" i="4"/>
  <c r="G45" i="4" s="1"/>
  <c r="M75" i="3"/>
  <c r="H31" i="4"/>
  <c r="D35" i="4"/>
  <c r="Q11" i="15"/>
  <c r="Q15" i="15" s="1"/>
  <c r="Q27" i="15"/>
  <c r="AB11" i="17"/>
  <c r="D26" i="18" s="1"/>
  <c r="G26" i="18" s="1"/>
  <c r="H26" i="18" s="1"/>
  <c r="AN48" i="4"/>
  <c r="R11" i="15"/>
  <c r="R15" i="15" s="1"/>
  <c r="R27" i="15"/>
  <c r="J11" i="15"/>
  <c r="J15" i="15" s="1"/>
  <c r="J27" i="15"/>
  <c r="O11" i="15"/>
  <c r="O15" i="15" s="1"/>
  <c r="O27" i="15"/>
  <c r="P11" i="15"/>
  <c r="P15" i="15" s="1"/>
  <c r="P27" i="15"/>
  <c r="E35" i="4"/>
  <c r="I35" i="4"/>
  <c r="J35" i="4"/>
  <c r="F35" i="4"/>
  <c r="F17" i="9"/>
  <c r="F8" i="9"/>
  <c r="O67" i="13"/>
  <c r="O71" i="13" s="1"/>
  <c r="O73" i="13" s="1"/>
  <c r="O27" i="16"/>
  <c r="V67" i="13"/>
  <c r="V27" i="16"/>
  <c r="U67" i="13"/>
  <c r="U71" i="13" s="1"/>
  <c r="U73" i="13" s="1"/>
  <c r="U27" i="16"/>
  <c r="P67" i="13"/>
  <c r="P71" i="13" s="1"/>
  <c r="P73" i="13" s="1"/>
  <c r="P27" i="16"/>
  <c r="S27" i="16"/>
  <c r="S67" i="13"/>
  <c r="S71" i="13" s="1"/>
  <c r="S73" i="13" s="1"/>
  <c r="L27" i="16"/>
  <c r="L67" i="13"/>
  <c r="L71" i="13" s="1"/>
  <c r="L73" i="13" s="1"/>
  <c r="J27" i="16"/>
  <c r="J67" i="13"/>
  <c r="J71" i="13" s="1"/>
  <c r="J73" i="13" s="1"/>
  <c r="F67" i="13"/>
  <c r="F71" i="13" s="1"/>
  <c r="F27" i="16"/>
  <c r="I67" i="13"/>
  <c r="I71" i="13" s="1"/>
  <c r="I73" i="13" s="1"/>
  <c r="I27" i="16"/>
  <c r="E67" i="13"/>
  <c r="E71" i="13" s="1"/>
  <c r="E27" i="16"/>
  <c r="D23" i="15"/>
  <c r="D68" i="13"/>
  <c r="K35" i="4"/>
  <c r="K45" i="4" s="1"/>
  <c r="E31" i="17"/>
  <c r="E40" i="17" s="1"/>
  <c r="E44" i="17" s="1"/>
  <c r="E46" i="17" s="1"/>
  <c r="E19" i="10"/>
  <c r="AA32" i="10"/>
  <c r="AA11" i="10"/>
  <c r="L36" i="25" l="1"/>
  <c r="M15" i="25"/>
  <c r="L41" i="25"/>
  <c r="L37" i="25"/>
  <c r="L50" i="25"/>
  <c r="L51" i="25" s="1"/>
  <c r="L52" i="25" s="1"/>
  <c r="L33" i="25" s="1"/>
  <c r="AG38" i="14"/>
  <c r="AM43" i="13"/>
  <c r="AK44" i="13"/>
  <c r="AF39" i="14"/>
  <c r="T92" i="3"/>
  <c r="AC92" i="3"/>
  <c r="Z92" i="3"/>
  <c r="J92" i="3"/>
  <c r="P87" i="3"/>
  <c r="P99" i="3" s="1"/>
  <c r="X92" i="3"/>
  <c r="V92" i="3"/>
  <c r="M92" i="3"/>
  <c r="AF44" i="13"/>
  <c r="AF54" i="13" s="1"/>
  <c r="AF56" i="13" s="1"/>
  <c r="AA39" i="14"/>
  <c r="Z44" i="13"/>
  <c r="Z54" i="13" s="1"/>
  <c r="Z56" i="13" s="1"/>
  <c r="U39" i="14"/>
  <c r="U40" i="14" s="1"/>
  <c r="AI44" i="13"/>
  <c r="AD39" i="14"/>
  <c r="AD40" i="14" s="1"/>
  <c r="AN43" i="13"/>
  <c r="R39" i="14"/>
  <c r="R40" i="14" s="1"/>
  <c r="W44" i="13"/>
  <c r="W54" i="13" s="1"/>
  <c r="W56" i="13" s="1"/>
  <c r="W23" i="15" s="1"/>
  <c r="AD44" i="13"/>
  <c r="AD54" i="13" s="1"/>
  <c r="AD56" i="13" s="1"/>
  <c r="Y39" i="14"/>
  <c r="Y40" i="14" s="1"/>
  <c r="X44" i="13"/>
  <c r="X54" i="13" s="1"/>
  <c r="X56" i="13" s="1"/>
  <c r="X23" i="15" s="1"/>
  <c r="X11" i="15" s="1"/>
  <c r="AD31" i="17" s="1"/>
  <c r="S39" i="14"/>
  <c r="S40" i="14" s="1"/>
  <c r="T39" i="14"/>
  <c r="Y44" i="13"/>
  <c r="Y54" i="13" s="1"/>
  <c r="Y56" i="13" s="1"/>
  <c r="Y23" i="15" s="1"/>
  <c r="Y11" i="15" s="1"/>
  <c r="AH44" i="13"/>
  <c r="AH54" i="13" s="1"/>
  <c r="AH56" i="13" s="1"/>
  <c r="AC39" i="14"/>
  <c r="AC40" i="14" s="1"/>
  <c r="AE44" i="13"/>
  <c r="AE54" i="13" s="1"/>
  <c r="AE56" i="13" s="1"/>
  <c r="Z39" i="14"/>
  <c r="Z40" i="14" s="1"/>
  <c r="AB39" i="14"/>
  <c r="AB40" i="14" s="1"/>
  <c r="AG44" i="13"/>
  <c r="AG54" i="13" s="1"/>
  <c r="AG56" i="13" s="1"/>
  <c r="T40" i="14"/>
  <c r="AJ44" i="13"/>
  <c r="AE39" i="14"/>
  <c r="AE40" i="14" s="1"/>
  <c r="AA40" i="14"/>
  <c r="AA44" i="13"/>
  <c r="AA54" i="13" s="1"/>
  <c r="AA56" i="13" s="1"/>
  <c r="V39" i="14"/>
  <c r="V40" i="14" s="1"/>
  <c r="AB44" i="13"/>
  <c r="AB54" i="13" s="1"/>
  <c r="AB56" i="13" s="1"/>
  <c r="W39" i="14"/>
  <c r="W40" i="14" s="1"/>
  <c r="AC44" i="13"/>
  <c r="AC54" i="13" s="1"/>
  <c r="AC56" i="13" s="1"/>
  <c r="X39" i="14"/>
  <c r="X40" i="14" s="1"/>
  <c r="AC51" i="6"/>
  <c r="AC52" i="6" s="1"/>
  <c r="AF16" i="8" s="1"/>
  <c r="AF16" i="17" s="1"/>
  <c r="AF18" i="10"/>
  <c r="AF39" i="17" s="1"/>
  <c r="AD32" i="10"/>
  <c r="AD8" i="9" s="1"/>
  <c r="I45" i="4"/>
  <c r="F45" i="4"/>
  <c r="Q87" i="3"/>
  <c r="R27" i="10" s="1"/>
  <c r="J45" i="4"/>
  <c r="F99" i="3"/>
  <c r="F102" i="3" s="1"/>
  <c r="G98" i="3" s="1"/>
  <c r="G102" i="3" s="1"/>
  <c r="H98" i="3" s="1"/>
  <c r="G27" i="10"/>
  <c r="O82" i="3"/>
  <c r="O86" i="3" s="1"/>
  <c r="O87" i="3" s="1"/>
  <c r="P27" i="10" s="1"/>
  <c r="AN23" i="4"/>
  <c r="AN26" i="4" s="1"/>
  <c r="D26" i="4"/>
  <c r="H99" i="3"/>
  <c r="I27" i="10"/>
  <c r="R92" i="3"/>
  <c r="I92" i="3"/>
  <c r="D45" i="4"/>
  <c r="AB92" i="3"/>
  <c r="W92" i="3"/>
  <c r="N92" i="3"/>
  <c r="P92" i="3"/>
  <c r="AN38" i="4"/>
  <c r="E45" i="4"/>
  <c r="AD92" i="3"/>
  <c r="S92" i="3"/>
  <c r="L92" i="3"/>
  <c r="Y92" i="3"/>
  <c r="AA92" i="3"/>
  <c r="Q92" i="3"/>
  <c r="AN11" i="4"/>
  <c r="AN13" i="4" s="1"/>
  <c r="K92" i="3"/>
  <c r="H92" i="3"/>
  <c r="H95" i="3" s="1"/>
  <c r="I34" i="8" s="1"/>
  <c r="AE85" i="3"/>
  <c r="AE87" i="3" s="1"/>
  <c r="AE92" i="3"/>
  <c r="AA23" i="11"/>
  <c r="AA25" i="16" s="1"/>
  <c r="Z32" i="10"/>
  <c r="Z34" i="10" s="1"/>
  <c r="T27" i="10"/>
  <c r="T11" i="10" s="1"/>
  <c r="T31" i="17" s="1"/>
  <c r="T40" i="17" s="1"/>
  <c r="U17" i="15"/>
  <c r="U35" i="15"/>
  <c r="C12" i="8"/>
  <c r="C39" i="8"/>
  <c r="K13" i="19"/>
  <c r="AB37" i="8"/>
  <c r="AB13" i="8" s="1"/>
  <c r="AN44" i="13"/>
  <c r="AM44" i="13"/>
  <c r="Y11" i="11"/>
  <c r="X15" i="13" s="1"/>
  <c r="X26" i="16"/>
  <c r="W68" i="13"/>
  <c r="V54" i="13"/>
  <c r="V56" i="13" s="1"/>
  <c r="V61" i="13"/>
  <c r="V64" i="13" s="1"/>
  <c r="W27" i="16" s="1"/>
  <c r="W10" i="16" s="1"/>
  <c r="W11" i="16" s="1"/>
  <c r="Q40" i="14"/>
  <c r="AE27" i="10"/>
  <c r="AE32" i="10" s="1"/>
  <c r="U99" i="3"/>
  <c r="T99" i="3"/>
  <c r="D10" i="16"/>
  <c r="D11" i="16" s="1"/>
  <c r="E15" i="16" s="1"/>
  <c r="D28" i="16"/>
  <c r="D71" i="13"/>
  <c r="C27" i="15"/>
  <c r="C11" i="15"/>
  <c r="C15" i="15" s="1"/>
  <c r="D17" i="16" s="1"/>
  <c r="D18" i="16" s="1"/>
  <c r="D19" i="16" s="1"/>
  <c r="X24" i="15"/>
  <c r="X12" i="13"/>
  <c r="X14" i="13" s="1"/>
  <c r="W19" i="13"/>
  <c r="W21" i="13"/>
  <c r="W60" i="13" s="1"/>
  <c r="W69" i="13"/>
  <c r="V11" i="10"/>
  <c r="V31" i="17" s="1"/>
  <c r="V40" i="17" s="1"/>
  <c r="AN52" i="4"/>
  <c r="M82" i="3"/>
  <c r="M86" i="3" s="1"/>
  <c r="M87" i="3" s="1"/>
  <c r="N27" i="10" s="1"/>
  <c r="F10" i="16"/>
  <c r="F11" i="16" s="1"/>
  <c r="G15" i="16" s="1"/>
  <c r="G18" i="16" s="1"/>
  <c r="F28" i="16"/>
  <c r="O10" i="16"/>
  <c r="O11" i="16" s="1"/>
  <c r="P15" i="16" s="1"/>
  <c r="O28" i="16"/>
  <c r="Q17" i="16"/>
  <c r="P17" i="15"/>
  <c r="O17" i="15"/>
  <c r="P17" i="16"/>
  <c r="J17" i="15"/>
  <c r="K17" i="16"/>
  <c r="S17" i="16"/>
  <c r="R17" i="15"/>
  <c r="Z31" i="17"/>
  <c r="Z19" i="10"/>
  <c r="U17" i="16"/>
  <c r="T17" i="15"/>
  <c r="I7" i="9"/>
  <c r="H7" i="9"/>
  <c r="D12" i="17"/>
  <c r="F12" i="17"/>
  <c r="Y31" i="17"/>
  <c r="Y19" i="10"/>
  <c r="M28" i="16"/>
  <c r="M10" i="16"/>
  <c r="M11" i="16" s="1"/>
  <c r="N15" i="16" s="1"/>
  <c r="K10" i="16"/>
  <c r="K11" i="16" s="1"/>
  <c r="L15" i="16" s="1"/>
  <c r="K28" i="16"/>
  <c r="H10" i="16"/>
  <c r="H11" i="16" s="1"/>
  <c r="I15" i="16" s="1"/>
  <c r="I18" i="16" s="1"/>
  <c r="H28" i="16"/>
  <c r="N10" i="16"/>
  <c r="N11" i="16" s="1"/>
  <c r="O15" i="16" s="1"/>
  <c r="N28" i="16"/>
  <c r="T10" i="16"/>
  <c r="T11" i="16" s="1"/>
  <c r="U15" i="16" s="1"/>
  <c r="T28" i="16"/>
  <c r="V17" i="16"/>
  <c r="X31" i="17"/>
  <c r="X19" i="10"/>
  <c r="W8" i="9"/>
  <c r="W34" i="10"/>
  <c r="W17" i="9"/>
  <c r="H31" i="17"/>
  <c r="O27" i="10"/>
  <c r="N99" i="3"/>
  <c r="K27" i="10"/>
  <c r="J99" i="3"/>
  <c r="AC19" i="10"/>
  <c r="AC22" i="8" s="1"/>
  <c r="AN31" i="4"/>
  <c r="AB19" i="10"/>
  <c r="D11" i="10"/>
  <c r="D32" i="10"/>
  <c r="F7" i="9"/>
  <c r="F11" i="9" s="1"/>
  <c r="F12" i="9" s="1"/>
  <c r="U32" i="10"/>
  <c r="U11" i="10"/>
  <c r="D11" i="15"/>
  <c r="D15" i="15" s="1"/>
  <c r="E17" i="16" s="1"/>
  <c r="E18" i="16" s="1"/>
  <c r="D27" i="15"/>
  <c r="J10" i="16"/>
  <c r="J11" i="16" s="1"/>
  <c r="K15" i="16" s="1"/>
  <c r="J28" i="16"/>
  <c r="S10" i="16"/>
  <c r="S11" i="16" s="1"/>
  <c r="T15" i="16" s="1"/>
  <c r="S28" i="16"/>
  <c r="U10" i="16"/>
  <c r="U11" i="16" s="1"/>
  <c r="U28" i="16"/>
  <c r="E10" i="16"/>
  <c r="E11" i="16" s="1"/>
  <c r="E28" i="16"/>
  <c r="I10" i="16"/>
  <c r="I11" i="16" s="1"/>
  <c r="J15" i="16" s="1"/>
  <c r="I28" i="16"/>
  <c r="L10" i="16"/>
  <c r="L11" i="16" s="1"/>
  <c r="M15" i="16" s="1"/>
  <c r="L28" i="16"/>
  <c r="P10" i="16"/>
  <c r="P11" i="16" s="1"/>
  <c r="Q15" i="16" s="1"/>
  <c r="P28" i="16"/>
  <c r="V10" i="16"/>
  <c r="V11" i="16" s="1"/>
  <c r="V28" i="16"/>
  <c r="AD19" i="10"/>
  <c r="AD22" i="8" s="1"/>
  <c r="Z8" i="9"/>
  <c r="Q17" i="15"/>
  <c r="Q19" i="15" s="1"/>
  <c r="R17" i="16"/>
  <c r="H12" i="17"/>
  <c r="G12" i="17"/>
  <c r="E7" i="9"/>
  <c r="E11" i="9" s="1"/>
  <c r="E12" i="9" s="1"/>
  <c r="G7" i="9"/>
  <c r="I17" i="15"/>
  <c r="J17" i="16"/>
  <c r="L17" i="16"/>
  <c r="K17" i="15"/>
  <c r="O17" i="16"/>
  <c r="N17" i="15"/>
  <c r="T17" i="16"/>
  <c r="S17" i="15"/>
  <c r="Y8" i="9"/>
  <c r="Y34" i="10"/>
  <c r="Y17" i="9"/>
  <c r="M17" i="16"/>
  <c r="L17" i="15"/>
  <c r="G28" i="16"/>
  <c r="G10" i="16"/>
  <c r="G11" i="16" s="1"/>
  <c r="H15" i="16" s="1"/>
  <c r="H18" i="16" s="1"/>
  <c r="R10" i="16"/>
  <c r="R11" i="16" s="1"/>
  <c r="S15" i="16" s="1"/>
  <c r="R28" i="16"/>
  <c r="Q28" i="16"/>
  <c r="Q10" i="16"/>
  <c r="Q11" i="16" s="1"/>
  <c r="R15" i="16" s="1"/>
  <c r="X34" i="10"/>
  <c r="X17" i="9"/>
  <c r="X8" i="9"/>
  <c r="W31" i="17"/>
  <c r="W40" i="17" s="1"/>
  <c r="W19" i="10"/>
  <c r="H17" i="9"/>
  <c r="H8" i="9"/>
  <c r="H34" i="10"/>
  <c r="L27" i="10"/>
  <c r="K99" i="3"/>
  <c r="AC17" i="9"/>
  <c r="AC8" i="9"/>
  <c r="AC34" i="10"/>
  <c r="L94" i="3"/>
  <c r="L95" i="3" s="1"/>
  <c r="M34" i="8" s="1"/>
  <c r="K94" i="3"/>
  <c r="J94" i="3"/>
  <c r="I94" i="3"/>
  <c r="I95" i="3" s="1"/>
  <c r="J34" i="8" s="1"/>
  <c r="I86" i="3"/>
  <c r="I87" i="3" s="1"/>
  <c r="AN35" i="4"/>
  <c r="L99" i="3"/>
  <c r="M27" i="10"/>
  <c r="M17" i="15"/>
  <c r="N17" i="16"/>
  <c r="AB17" i="9"/>
  <c r="AB34" i="10"/>
  <c r="AB8" i="9"/>
  <c r="V17" i="9"/>
  <c r="V8" i="9"/>
  <c r="V34" i="10"/>
  <c r="E12" i="17"/>
  <c r="R99" i="3"/>
  <c r="S27" i="10"/>
  <c r="AA19" i="10"/>
  <c r="AA31" i="17"/>
  <c r="E8" i="18" s="1"/>
  <c r="AA8" i="9"/>
  <c r="AA34" i="10"/>
  <c r="AA17" i="9"/>
  <c r="L38" i="25" l="1"/>
  <c r="L55" i="25" s="1"/>
  <c r="L43" i="25"/>
  <c r="AG39" i="14"/>
  <c r="AG40" i="14" s="1"/>
  <c r="AB22" i="8"/>
  <c r="AB21" i="10"/>
  <c r="C55" i="18" s="1"/>
  <c r="C62" i="18" s="1"/>
  <c r="X15" i="16"/>
  <c r="W13" i="16"/>
  <c r="D52" i="18" s="1"/>
  <c r="D54" i="18" s="1"/>
  <c r="E18" i="18"/>
  <c r="S18" i="16"/>
  <c r="S19" i="16" s="1"/>
  <c r="X68" i="13"/>
  <c r="W61" i="13"/>
  <c r="W64" i="13" s="1"/>
  <c r="X67" i="13" s="1"/>
  <c r="Z12" i="11"/>
  <c r="Z19" i="11" s="1"/>
  <c r="X61" i="13"/>
  <c r="Y68" i="13"/>
  <c r="Y61" i="13"/>
  <c r="Z61" i="13"/>
  <c r="J95" i="3"/>
  <c r="K34" i="8" s="1"/>
  <c r="Q27" i="10"/>
  <c r="Z17" i="9"/>
  <c r="Q99" i="3"/>
  <c r="Y24" i="16"/>
  <c r="Y8" i="16" s="1"/>
  <c r="AD8" i="17" s="1"/>
  <c r="Y9" i="13"/>
  <c r="Y8" i="12"/>
  <c r="Y12" i="12" s="1"/>
  <c r="Y14" i="12" s="1"/>
  <c r="Y24" i="15" s="1"/>
  <c r="Y12" i="15" s="1"/>
  <c r="AE32" i="17" s="1"/>
  <c r="AA9" i="16"/>
  <c r="AF11" i="17" s="1"/>
  <c r="Z68" i="13"/>
  <c r="Z23" i="15"/>
  <c r="AF40" i="14"/>
  <c r="AD17" i="9"/>
  <c r="AD34" i="10"/>
  <c r="AE34" i="10"/>
  <c r="AE8" i="9"/>
  <c r="AE17" i="9"/>
  <c r="AE99" i="3"/>
  <c r="AF27" i="10"/>
  <c r="AN45" i="4"/>
  <c r="O99" i="3"/>
  <c r="T19" i="10"/>
  <c r="T21" i="10" s="1"/>
  <c r="AE94" i="3"/>
  <c r="AE95" i="3" s="1"/>
  <c r="AF34" i="8" s="1"/>
  <c r="T32" i="10"/>
  <c r="I32" i="10"/>
  <c r="I11" i="10"/>
  <c r="I31" i="17" s="1"/>
  <c r="K95" i="3"/>
  <c r="L34" i="8" s="1"/>
  <c r="L36" i="8" s="1"/>
  <c r="V19" i="10"/>
  <c r="V22" i="8" s="1"/>
  <c r="G32" i="10"/>
  <c r="G11" i="10"/>
  <c r="G31" i="17" s="1"/>
  <c r="Z94" i="3"/>
  <c r="Z95" i="3" s="1"/>
  <c r="AA34" i="8" s="1"/>
  <c r="AD94" i="3"/>
  <c r="AD95" i="3" s="1"/>
  <c r="AE34" i="8" s="1"/>
  <c r="AE36" i="8" s="1"/>
  <c r="AF7" i="9" s="1"/>
  <c r="O94" i="3"/>
  <c r="O95" i="3" s="1"/>
  <c r="I36" i="8"/>
  <c r="J7" i="9" s="1"/>
  <c r="I11" i="8"/>
  <c r="I12" i="17" s="1"/>
  <c r="H102" i="3"/>
  <c r="AE11" i="10"/>
  <c r="AE19" i="10" s="1"/>
  <c r="AE22" i="8" s="1"/>
  <c r="X94" i="3"/>
  <c r="X95" i="3" s="1"/>
  <c r="Y34" i="8" s="1"/>
  <c r="T94" i="3"/>
  <c r="T95" i="3" s="1"/>
  <c r="U34" i="8" s="1"/>
  <c r="M99" i="3"/>
  <c r="AC37" i="8"/>
  <c r="AC13" i="8" s="1"/>
  <c r="L13" i="19"/>
  <c r="C17" i="8"/>
  <c r="C13" i="17"/>
  <c r="C17" i="17" s="1"/>
  <c r="Y20" i="11"/>
  <c r="W67" i="13"/>
  <c r="W71" i="13" s="1"/>
  <c r="W28" i="16"/>
  <c r="W15" i="16"/>
  <c r="V13" i="16"/>
  <c r="V23" i="15"/>
  <c r="V68" i="13"/>
  <c r="V71" i="13" s="1"/>
  <c r="V73" i="13" s="1"/>
  <c r="W11" i="15"/>
  <c r="W27" i="15"/>
  <c r="AA22" i="8"/>
  <c r="AA21" i="10"/>
  <c r="K18" i="16"/>
  <c r="K13" i="16" s="1"/>
  <c r="AA40" i="17"/>
  <c r="AA44" i="17" s="1"/>
  <c r="AA46" i="17" s="1"/>
  <c r="H19" i="16"/>
  <c r="X16" i="13"/>
  <c r="X69" i="13" s="1"/>
  <c r="Z40" i="17"/>
  <c r="Z22" i="17" s="1"/>
  <c r="X12" i="15"/>
  <c r="X27" i="15"/>
  <c r="V15" i="16"/>
  <c r="V18" i="16" s="1"/>
  <c r="V19" i="16" s="1"/>
  <c r="U13" i="16"/>
  <c r="Z22" i="8"/>
  <c r="Z21" i="10"/>
  <c r="P94" i="3"/>
  <c r="P95" i="3" s="1"/>
  <c r="Q34" i="8" s="1"/>
  <c r="AC94" i="3"/>
  <c r="AC95" i="3" s="1"/>
  <c r="AD34" i="8" s="1"/>
  <c r="S94" i="3"/>
  <c r="S95" i="3" s="1"/>
  <c r="T34" i="8" s="1"/>
  <c r="W94" i="3"/>
  <c r="W95" i="3" s="1"/>
  <c r="X34" i="8" s="1"/>
  <c r="R18" i="16"/>
  <c r="R19" i="16" s="1"/>
  <c r="Q18" i="16"/>
  <c r="Q13" i="16" s="1"/>
  <c r="M18" i="16"/>
  <c r="M19" i="16" s="1"/>
  <c r="J18" i="16"/>
  <c r="J19" i="16" s="1"/>
  <c r="Y94" i="3"/>
  <c r="Y95" i="3" s="1"/>
  <c r="Z34" i="8" s="1"/>
  <c r="U94" i="3"/>
  <c r="U95" i="3" s="1"/>
  <c r="V34" i="8" s="1"/>
  <c r="N94" i="3"/>
  <c r="N95" i="3" s="1"/>
  <c r="O34" i="8" s="1"/>
  <c r="V94" i="3"/>
  <c r="V95" i="3" s="1"/>
  <c r="W34" i="8" s="1"/>
  <c r="AA94" i="3"/>
  <c r="AA95" i="3" s="1"/>
  <c r="AB34" i="8" s="1"/>
  <c r="AB94" i="3"/>
  <c r="AB95" i="3" s="1"/>
  <c r="AC34" i="8" s="1"/>
  <c r="R94" i="3"/>
  <c r="R95" i="3" s="1"/>
  <c r="S34" i="8" s="1"/>
  <c r="Q94" i="3"/>
  <c r="Q95" i="3" s="1"/>
  <c r="R34" i="8" s="1"/>
  <c r="M94" i="3"/>
  <c r="M95" i="3" s="1"/>
  <c r="N34" i="8" s="1"/>
  <c r="R32" i="10"/>
  <c r="R11" i="10"/>
  <c r="R31" i="17" s="1"/>
  <c r="M32" i="10"/>
  <c r="M11" i="10"/>
  <c r="J27" i="10"/>
  <c r="I99" i="3"/>
  <c r="W44" i="17"/>
  <c r="W46" i="17" s="1"/>
  <c r="W41" i="17"/>
  <c r="W22" i="17"/>
  <c r="J35" i="17"/>
  <c r="J10" i="17"/>
  <c r="F15" i="16"/>
  <c r="F18" i="16" s="1"/>
  <c r="F19" i="16" s="1"/>
  <c r="U31" i="17"/>
  <c r="U40" i="17" s="1"/>
  <c r="U19" i="10"/>
  <c r="D31" i="17"/>
  <c r="D40" i="17" s="1"/>
  <c r="D44" i="17" s="1"/>
  <c r="D46" i="17" s="1"/>
  <c r="D19" i="10"/>
  <c r="K11" i="10"/>
  <c r="K32" i="10"/>
  <c r="O11" i="10"/>
  <c r="O32" i="10"/>
  <c r="X40" i="17"/>
  <c r="T13" i="16"/>
  <c r="U18" i="16"/>
  <c r="U19" i="16" s="1"/>
  <c r="O18" i="16"/>
  <c r="I19" i="16"/>
  <c r="L18" i="16"/>
  <c r="Y40" i="17"/>
  <c r="S11" i="10"/>
  <c r="S32" i="10"/>
  <c r="Q32" i="10"/>
  <c r="Q11" i="10"/>
  <c r="J36" i="8"/>
  <c r="J11" i="8"/>
  <c r="K11" i="8"/>
  <c r="K36" i="8"/>
  <c r="P34" i="8"/>
  <c r="M36" i="8"/>
  <c r="M11" i="8"/>
  <c r="P11" i="10"/>
  <c r="P32" i="10"/>
  <c r="L11" i="10"/>
  <c r="L32" i="10"/>
  <c r="W22" i="8"/>
  <c r="W21" i="10"/>
  <c r="N11" i="10"/>
  <c r="N32" i="10"/>
  <c r="T44" i="17"/>
  <c r="T46" i="17" s="1"/>
  <c r="T41" i="17"/>
  <c r="T22" i="17"/>
  <c r="T18" i="16"/>
  <c r="T19" i="16" s="1"/>
  <c r="S13" i="16"/>
  <c r="K19" i="16"/>
  <c r="E19" i="16"/>
  <c r="U34" i="10"/>
  <c r="U8" i="9"/>
  <c r="U17" i="9"/>
  <c r="D17" i="9"/>
  <c r="D20" i="9" s="1"/>
  <c r="D8" i="9"/>
  <c r="D11" i="9" s="1"/>
  <c r="D12" i="9" s="1"/>
  <c r="V44" i="17"/>
  <c r="V46" i="17" s="1"/>
  <c r="V41" i="17"/>
  <c r="V22" i="17"/>
  <c r="X22" i="8"/>
  <c r="X21" i="10"/>
  <c r="N18" i="16"/>
  <c r="Y22" i="8"/>
  <c r="Y21" i="10"/>
  <c r="H11" i="9"/>
  <c r="H12" i="9" s="1"/>
  <c r="P18" i="16"/>
  <c r="G19" i="16"/>
  <c r="L56" i="25" l="1"/>
  <c r="M20" i="25" s="1"/>
  <c r="Y27" i="15"/>
  <c r="Z11" i="11"/>
  <c r="Z24" i="16" s="1"/>
  <c r="L11" i="8"/>
  <c r="Y15" i="15"/>
  <c r="Y17" i="15" s="1"/>
  <c r="Y26" i="16"/>
  <c r="Y12" i="13"/>
  <c r="Y14" i="13" s="1"/>
  <c r="Z11" i="15"/>
  <c r="AF11" i="8"/>
  <c r="AF36" i="8"/>
  <c r="AF11" i="10"/>
  <c r="AF32" i="10"/>
  <c r="T22" i="8"/>
  <c r="AE11" i="8"/>
  <c r="V21" i="10"/>
  <c r="T34" i="10"/>
  <c r="T8" i="9"/>
  <c r="T17" i="9"/>
  <c r="G8" i="9"/>
  <c r="G11" i="9" s="1"/>
  <c r="G12" i="9" s="1"/>
  <c r="G17" i="9"/>
  <c r="G34" i="10"/>
  <c r="I98" i="3"/>
  <c r="I102" i="3" s="1"/>
  <c r="J98" i="3" s="1"/>
  <c r="J102" i="3" s="1"/>
  <c r="K98" i="3" s="1"/>
  <c r="K102" i="3" s="1"/>
  <c r="L98" i="3" s="1"/>
  <c r="L102" i="3" s="1"/>
  <c r="M98" i="3" s="1"/>
  <c r="M102" i="3" s="1"/>
  <c r="H104" i="3"/>
  <c r="I17" i="9"/>
  <c r="I8" i="9"/>
  <c r="I11" i="9" s="1"/>
  <c r="I12" i="9" s="1"/>
  <c r="I34" i="10"/>
  <c r="AE31" i="17"/>
  <c r="AE40" i="17" s="1"/>
  <c r="AE41" i="17" s="1"/>
  <c r="C63" i="18"/>
  <c r="M13" i="19"/>
  <c r="AD37" i="8"/>
  <c r="AD13" i="8" s="1"/>
  <c r="X27" i="16"/>
  <c r="X10" i="16" s="1"/>
  <c r="X11" i="16" s="1"/>
  <c r="Y15" i="16" s="1"/>
  <c r="W73" i="13"/>
  <c r="V11" i="15"/>
  <c r="V27" i="15"/>
  <c r="W15" i="15"/>
  <c r="AC31" i="17"/>
  <c r="AC40" i="17" s="1"/>
  <c r="AA41" i="17"/>
  <c r="AA43" i="17" s="1"/>
  <c r="Z41" i="17"/>
  <c r="Z43" i="17" s="1"/>
  <c r="M13" i="16"/>
  <c r="AA22" i="17"/>
  <c r="X71" i="13"/>
  <c r="Z44" i="17"/>
  <c r="Z46" i="17" s="1"/>
  <c r="X19" i="13"/>
  <c r="X21" i="13"/>
  <c r="X60" i="13" s="1"/>
  <c r="X64" i="13" s="1"/>
  <c r="Y67" i="13" s="1"/>
  <c r="AD32" i="17"/>
  <c r="AD40" i="17" s="1"/>
  <c r="X15" i="15"/>
  <c r="J13" i="16"/>
  <c r="Q19" i="16"/>
  <c r="R13" i="16"/>
  <c r="R17" i="9"/>
  <c r="R34" i="10"/>
  <c r="R8" i="9"/>
  <c r="P13" i="16"/>
  <c r="P19" i="16"/>
  <c r="E16" i="9"/>
  <c r="E20" i="9" s="1"/>
  <c r="D22" i="9"/>
  <c r="N31" i="17"/>
  <c r="L8" i="9"/>
  <c r="L34" i="10"/>
  <c r="L17" i="9"/>
  <c r="P34" i="10"/>
  <c r="P17" i="9"/>
  <c r="P8" i="9"/>
  <c r="M12" i="17"/>
  <c r="L7" i="9"/>
  <c r="J12" i="17"/>
  <c r="Q17" i="9"/>
  <c r="Q8" i="9"/>
  <c r="Q34" i="10"/>
  <c r="N36" i="8"/>
  <c r="N11" i="8"/>
  <c r="S36" i="8"/>
  <c r="S11" i="8"/>
  <c r="AC36" i="8"/>
  <c r="AD7" i="9" s="1"/>
  <c r="AD11" i="9" s="1"/>
  <c r="AC11" i="8"/>
  <c r="AB36" i="8"/>
  <c r="AB11" i="8"/>
  <c r="AB12" i="17" s="1"/>
  <c r="D27" i="18" s="1"/>
  <c r="V36" i="8"/>
  <c r="V11" i="8"/>
  <c r="S31" i="17"/>
  <c r="O31" i="17"/>
  <c r="K31" i="17"/>
  <c r="U21" i="10"/>
  <c r="U22" i="8"/>
  <c r="R36" i="8"/>
  <c r="R11" i="8"/>
  <c r="L12" i="17"/>
  <c r="W36" i="8"/>
  <c r="W11" i="8"/>
  <c r="J32" i="10"/>
  <c r="J11" i="10"/>
  <c r="Z36" i="8"/>
  <c r="Z11" i="8"/>
  <c r="M34" i="10"/>
  <c r="M17" i="9"/>
  <c r="M8" i="9"/>
  <c r="N13" i="16"/>
  <c r="N19" i="16"/>
  <c r="N8" i="9"/>
  <c r="N34" i="10"/>
  <c r="N17" i="9"/>
  <c r="L31" i="17"/>
  <c r="P31" i="17"/>
  <c r="N7" i="9"/>
  <c r="P11" i="8"/>
  <c r="P36" i="8"/>
  <c r="X36" i="8"/>
  <c r="X11" i="8"/>
  <c r="AA11" i="8"/>
  <c r="AA12" i="17" s="1"/>
  <c r="E27" i="18" s="1"/>
  <c r="AA36" i="8"/>
  <c r="AB7" i="9" s="1"/>
  <c r="AB11" i="9" s="1"/>
  <c r="U36" i="8"/>
  <c r="U11" i="8"/>
  <c r="T11" i="8"/>
  <c r="T36" i="8"/>
  <c r="K12" i="17"/>
  <c r="AD36" i="8"/>
  <c r="AE7" i="9" s="1"/>
  <c r="AE11" i="9" s="1"/>
  <c r="AE12" i="9" s="1"/>
  <c r="AD11" i="8"/>
  <c r="K7" i="9"/>
  <c r="Y36" i="8"/>
  <c r="Y11" i="8"/>
  <c r="Q36" i="8"/>
  <c r="Q11" i="8"/>
  <c r="Q31" i="17"/>
  <c r="O11" i="8"/>
  <c r="O36" i="8"/>
  <c r="S8" i="9"/>
  <c r="S34" i="10"/>
  <c r="S17" i="9"/>
  <c r="Y41" i="17"/>
  <c r="Y44" i="17"/>
  <c r="Y46" i="17" s="1"/>
  <c r="Y22" i="17"/>
  <c r="L19" i="16"/>
  <c r="L13" i="16"/>
  <c r="O19" i="16"/>
  <c r="O13" i="16"/>
  <c r="X41" i="17"/>
  <c r="X22" i="17"/>
  <c r="X44" i="17"/>
  <c r="X46" i="17" s="1"/>
  <c r="O34" i="10"/>
  <c r="O17" i="9"/>
  <c r="O8" i="9"/>
  <c r="K17" i="9"/>
  <c r="K8" i="9"/>
  <c r="K34" i="10"/>
  <c r="U44" i="17"/>
  <c r="U46" i="17" s="1"/>
  <c r="U41" i="17"/>
  <c r="U22" i="17"/>
  <c r="M7" i="9"/>
  <c r="M31" i="17"/>
  <c r="M18" i="25" l="1"/>
  <c r="M27" i="25"/>
  <c r="Y15" i="13"/>
  <c r="AA12" i="11"/>
  <c r="AA19" i="11" s="1"/>
  <c r="Z8" i="12"/>
  <c r="Z12" i="12" s="1"/>
  <c r="Z14" i="12" s="1"/>
  <c r="Z24" i="15" s="1"/>
  <c r="Z26" i="16"/>
  <c r="Z8" i="16"/>
  <c r="AE8" i="17" s="1"/>
  <c r="Z9" i="13"/>
  <c r="Z20" i="11"/>
  <c r="Z17" i="16"/>
  <c r="Y16" i="13"/>
  <c r="Y21" i="13" s="1"/>
  <c r="Y60" i="13" s="1"/>
  <c r="Y64" i="13" s="1"/>
  <c r="AF31" i="17"/>
  <c r="AF19" i="10"/>
  <c r="AF22" i="8" s="1"/>
  <c r="AF34" i="10"/>
  <c r="AF8" i="9"/>
  <c r="AF11" i="9" s="1"/>
  <c r="AF12" i="9" s="1"/>
  <c r="AF17" i="9"/>
  <c r="AE37" i="8"/>
  <c r="AE13" i="8" s="1"/>
  <c r="N13" i="19"/>
  <c r="M104" i="3"/>
  <c r="N98" i="3"/>
  <c r="N102" i="3" s="1"/>
  <c r="O98" i="3" s="1"/>
  <c r="O102" i="3" s="1"/>
  <c r="AE44" i="17"/>
  <c r="AE46" i="17" s="1"/>
  <c r="AE22" i="17"/>
  <c r="AC12" i="17"/>
  <c r="X28" i="16"/>
  <c r="AC44" i="17"/>
  <c r="AC46" i="17" s="1"/>
  <c r="AC22" i="17"/>
  <c r="AC41" i="17"/>
  <c r="W17" i="15"/>
  <c r="X17" i="16"/>
  <c r="X18" i="16" s="1"/>
  <c r="X19" i="16" s="1"/>
  <c r="V15" i="15"/>
  <c r="V35" i="15" s="1"/>
  <c r="AB31" i="17"/>
  <c r="X73" i="13"/>
  <c r="Y27" i="16"/>
  <c r="Y10" i="16" s="1"/>
  <c r="Y11" i="16" s="1"/>
  <c r="Z15" i="16" s="1"/>
  <c r="X17" i="15"/>
  <c r="Y17" i="16"/>
  <c r="Y18" i="16" s="1"/>
  <c r="AD41" i="17"/>
  <c r="AD22" i="17"/>
  <c r="AD44" i="17"/>
  <c r="AD46" i="17" s="1"/>
  <c r="N11" i="9"/>
  <c r="N12" i="9" s="1"/>
  <c r="L11" i="9"/>
  <c r="L12" i="9" s="1"/>
  <c r="U7" i="9"/>
  <c r="U11" i="9" s="1"/>
  <c r="U12" i="9" s="1"/>
  <c r="U12" i="17"/>
  <c r="Q7" i="9"/>
  <c r="Q11" i="9" s="1"/>
  <c r="Q12" i="9" s="1"/>
  <c r="J34" i="10"/>
  <c r="J17" i="9"/>
  <c r="J8" i="9"/>
  <c r="J11" i="9" s="1"/>
  <c r="J12" i="9" s="1"/>
  <c r="X7" i="9"/>
  <c r="X11" i="9" s="1"/>
  <c r="X12" i="9" s="1"/>
  <c r="V12" i="17"/>
  <c r="N12" i="17"/>
  <c r="O12" i="17"/>
  <c r="R7" i="9"/>
  <c r="R11" i="9" s="1"/>
  <c r="R12" i="9" s="1"/>
  <c r="Z7" i="9"/>
  <c r="Z11" i="9" s="1"/>
  <c r="Z12" i="9" s="1"/>
  <c r="X12" i="17"/>
  <c r="AA7" i="9"/>
  <c r="AA11" i="9" s="1"/>
  <c r="AA12" i="9" s="1"/>
  <c r="S7" i="9"/>
  <c r="S11" i="9" s="1"/>
  <c r="S12" i="9" s="1"/>
  <c r="S12" i="17"/>
  <c r="D32" i="9"/>
  <c r="D38" i="8"/>
  <c r="M11" i="9"/>
  <c r="M12" i="9" s="1"/>
  <c r="P7" i="9"/>
  <c r="P11" i="9" s="1"/>
  <c r="P12" i="9" s="1"/>
  <c r="Q12" i="17"/>
  <c r="Y12" i="17"/>
  <c r="K11" i="9"/>
  <c r="K12" i="9" s="1"/>
  <c r="T12" i="17"/>
  <c r="V7" i="9"/>
  <c r="V11" i="9" s="1"/>
  <c r="V12" i="9" s="1"/>
  <c r="Y7" i="9"/>
  <c r="Y11" i="9" s="1"/>
  <c r="Y12" i="9" s="1"/>
  <c r="P12" i="17"/>
  <c r="Z12" i="17"/>
  <c r="J31" i="17"/>
  <c r="W12" i="17"/>
  <c r="R12" i="17"/>
  <c r="W7" i="9"/>
  <c r="W11" i="9" s="1"/>
  <c r="W12" i="9" s="1"/>
  <c r="AC7" i="9"/>
  <c r="AC11" i="9" s="1"/>
  <c r="AC12" i="9" s="1"/>
  <c r="AB12" i="9"/>
  <c r="AD12" i="9"/>
  <c r="T7" i="9"/>
  <c r="T11" i="9" s="1"/>
  <c r="T12" i="9" s="1"/>
  <c r="O7" i="9"/>
  <c r="O11" i="9" s="1"/>
  <c r="O12" i="9" s="1"/>
  <c r="F16" i="9"/>
  <c r="F20" i="9" s="1"/>
  <c r="E22" i="9"/>
  <c r="M32" i="25" l="1"/>
  <c r="M41" i="25" s="1"/>
  <c r="M37" i="25"/>
  <c r="M36" i="25"/>
  <c r="N15" i="25"/>
  <c r="M42" i="25"/>
  <c r="M49" i="25"/>
  <c r="M48" i="25"/>
  <c r="AB40" i="17"/>
  <c r="D8" i="18"/>
  <c r="Y19" i="13"/>
  <c r="Z12" i="13"/>
  <c r="Z14" i="13" s="1"/>
  <c r="AA11" i="11"/>
  <c r="Z15" i="13" s="1"/>
  <c r="Z18" i="16"/>
  <c r="Y69" i="13"/>
  <c r="Y71" i="13" s="1"/>
  <c r="Y73" i="13" s="1"/>
  <c r="Z12" i="15"/>
  <c r="Z27" i="15"/>
  <c r="O13" i="19"/>
  <c r="AF37" i="8"/>
  <c r="AF13" i="8" s="1"/>
  <c r="N104" i="3"/>
  <c r="Z27" i="16"/>
  <c r="Z67" i="13"/>
  <c r="AB22" i="17"/>
  <c r="AB44" i="17"/>
  <c r="AB46" i="17" s="1"/>
  <c r="AB41" i="17"/>
  <c r="AB43" i="17" s="1"/>
  <c r="V17" i="15"/>
  <c r="D55" i="18" s="1"/>
  <c r="W17" i="16"/>
  <c r="W18" i="16" s="1"/>
  <c r="W19" i="16" s="1"/>
  <c r="Y19" i="16"/>
  <c r="Y28" i="16"/>
  <c r="AD12" i="17"/>
  <c r="G16" i="9"/>
  <c r="G20" i="9" s="1"/>
  <c r="F22" i="9"/>
  <c r="D12" i="8"/>
  <c r="D39" i="8"/>
  <c r="P98" i="3"/>
  <c r="P102" i="3" s="1"/>
  <c r="O104" i="3"/>
  <c r="E32" i="9"/>
  <c r="E38" i="8"/>
  <c r="M50" i="25" l="1"/>
  <c r="M51" i="25" s="1"/>
  <c r="M52" i="25" s="1"/>
  <c r="M33" i="25" s="1"/>
  <c r="M38" i="25" s="1"/>
  <c r="M55" i="25" s="1"/>
  <c r="D62" i="18"/>
  <c r="E55" i="18"/>
  <c r="D56" i="18"/>
  <c r="D18" i="18"/>
  <c r="G8" i="18"/>
  <c r="J8" i="18"/>
  <c r="Z16" i="13"/>
  <c r="Z21" i="13" s="1"/>
  <c r="Z60" i="13" s="1"/>
  <c r="Z64" i="13" s="1"/>
  <c r="AA27" i="16" s="1"/>
  <c r="AA10" i="16" s="1"/>
  <c r="AF12" i="17" s="1"/>
  <c r="AA20" i="11"/>
  <c r="AA24" i="16"/>
  <c r="AA8" i="16" s="1"/>
  <c r="AF8" i="17" s="1"/>
  <c r="AF32" i="17"/>
  <c r="AF40" i="17" s="1"/>
  <c r="Z15" i="15"/>
  <c r="Z10" i="16"/>
  <c r="Z28" i="16"/>
  <c r="E12" i="8"/>
  <c r="E39" i="8"/>
  <c r="E7" i="5" s="1"/>
  <c r="E8" i="5" s="1"/>
  <c r="D13" i="17"/>
  <c r="D17" i="17" s="1"/>
  <c r="D17" i="8"/>
  <c r="F38" i="8"/>
  <c r="F32" i="9"/>
  <c r="G27" i="18"/>
  <c r="Q98" i="3"/>
  <c r="Q102" i="3" s="1"/>
  <c r="P104" i="3"/>
  <c r="H16" i="9"/>
  <c r="H20" i="9" s="1"/>
  <c r="G22" i="9"/>
  <c r="M43" i="25" l="1"/>
  <c r="M56" i="25"/>
  <c r="N20" i="25" s="1"/>
  <c r="AA26" i="16"/>
  <c r="J18" i="18"/>
  <c r="K18" i="18" s="1"/>
  <c r="K8" i="18"/>
  <c r="G18" i="18"/>
  <c r="H18" i="18" s="1"/>
  <c r="H8" i="18"/>
  <c r="D63" i="18"/>
  <c r="E63" i="18" s="1"/>
  <c r="E62" i="18"/>
  <c r="Z19" i="13"/>
  <c r="Z69" i="13"/>
  <c r="Z71" i="13" s="1"/>
  <c r="Z73" i="13" s="1"/>
  <c r="Z17" i="15"/>
  <c r="AA17" i="16"/>
  <c r="AF22" i="17"/>
  <c r="AF41" i="17"/>
  <c r="AF44" i="17"/>
  <c r="AF46" i="17" s="1"/>
  <c r="AA11" i="16"/>
  <c r="AA28" i="16"/>
  <c r="Z11" i="16"/>
  <c r="AE12" i="17"/>
  <c r="F10" i="5"/>
  <c r="I16" i="9"/>
  <c r="I20" i="9" s="1"/>
  <c r="H22" i="9"/>
  <c r="G32" i="9"/>
  <c r="G38" i="8"/>
  <c r="R98" i="3"/>
  <c r="R102" i="3" s="1"/>
  <c r="Q104" i="3"/>
  <c r="H27" i="18"/>
  <c r="F12" i="8"/>
  <c r="F39" i="8"/>
  <c r="E13" i="17"/>
  <c r="E17" i="17" s="1"/>
  <c r="E17" i="8"/>
  <c r="N18" i="25" l="1"/>
  <c r="Z19" i="16"/>
  <c r="AA15" i="16"/>
  <c r="AA18" i="16" s="1"/>
  <c r="AA19" i="16" s="1"/>
  <c r="G12" i="8"/>
  <c r="G39" i="8"/>
  <c r="H38" i="8"/>
  <c r="H32" i="9"/>
  <c r="G10" i="5"/>
  <c r="G16" i="10" s="1"/>
  <c r="I10" i="5"/>
  <c r="I16" i="10" s="1"/>
  <c r="K10" i="5"/>
  <c r="K16" i="10" s="1"/>
  <c r="M10" i="5"/>
  <c r="M16" i="10" s="1"/>
  <c r="O10" i="5"/>
  <c r="O16" i="10" s="1"/>
  <c r="Q10" i="5"/>
  <c r="Q16" i="10" s="1"/>
  <c r="S10" i="5"/>
  <c r="S16" i="10" s="1"/>
  <c r="H10" i="5"/>
  <c r="H16" i="10" s="1"/>
  <c r="J10" i="5"/>
  <c r="J16" i="10" s="1"/>
  <c r="L10" i="5"/>
  <c r="L16" i="10" s="1"/>
  <c r="N10" i="5"/>
  <c r="N16" i="10" s="1"/>
  <c r="P10" i="5"/>
  <c r="P16" i="10" s="1"/>
  <c r="R10" i="5"/>
  <c r="R16" i="10" s="1"/>
  <c r="F16" i="10"/>
  <c r="F13" i="17"/>
  <c r="S98" i="3"/>
  <c r="S102" i="3" s="1"/>
  <c r="R104" i="3"/>
  <c r="J16" i="9"/>
  <c r="J20" i="9" s="1"/>
  <c r="I22" i="9"/>
  <c r="F12" i="5"/>
  <c r="N27" i="25" l="1"/>
  <c r="N48" i="25" s="1"/>
  <c r="N32" i="25"/>
  <c r="P37" i="17"/>
  <c r="P40" i="17" s="1"/>
  <c r="P19" i="10"/>
  <c r="H37" i="17"/>
  <c r="H40" i="17" s="1"/>
  <c r="H19" i="10"/>
  <c r="H22" i="8" s="1"/>
  <c r="Q37" i="17"/>
  <c r="Q40" i="17" s="1"/>
  <c r="Q19" i="10"/>
  <c r="M37" i="17"/>
  <c r="M40" i="17" s="1"/>
  <c r="M19" i="10"/>
  <c r="M22" i="8" s="1"/>
  <c r="I37" i="17"/>
  <c r="I40" i="17" s="1"/>
  <c r="I19" i="10"/>
  <c r="I22" i="8" s="1"/>
  <c r="I32" i="9"/>
  <c r="I38" i="8"/>
  <c r="F37" i="17"/>
  <c r="F40" i="17" s="1"/>
  <c r="F44" i="17" s="1"/>
  <c r="F46" i="17" s="1"/>
  <c r="F19" i="10"/>
  <c r="L37" i="17"/>
  <c r="L40" i="17" s="1"/>
  <c r="L19" i="10"/>
  <c r="L22" i="8" s="1"/>
  <c r="G12" i="5"/>
  <c r="F15" i="8"/>
  <c r="J22" i="9"/>
  <c r="K16" i="9"/>
  <c r="K20" i="9" s="1"/>
  <c r="T98" i="3"/>
  <c r="T102" i="3" s="1"/>
  <c r="S104" i="3"/>
  <c r="R37" i="17"/>
  <c r="R40" i="17" s="1"/>
  <c r="R19" i="10"/>
  <c r="N37" i="17"/>
  <c r="N40" i="17" s="1"/>
  <c r="N19" i="10"/>
  <c r="N22" i="8" s="1"/>
  <c r="J37" i="17"/>
  <c r="J40" i="17" s="1"/>
  <c r="J19" i="10"/>
  <c r="J22" i="8" s="1"/>
  <c r="S37" i="17"/>
  <c r="S40" i="17" s="1"/>
  <c r="S19" i="10"/>
  <c r="O37" i="17"/>
  <c r="O40" i="17" s="1"/>
  <c r="O19" i="10"/>
  <c r="K37" i="17"/>
  <c r="K40" i="17" s="1"/>
  <c r="K19" i="10"/>
  <c r="K22" i="8" s="1"/>
  <c r="G37" i="17"/>
  <c r="G40" i="17" s="1"/>
  <c r="G19" i="10"/>
  <c r="G22" i="8" s="1"/>
  <c r="H12" i="8"/>
  <c r="H39" i="8"/>
  <c r="G13" i="17"/>
  <c r="N49" i="25" l="1"/>
  <c r="N50" i="25" s="1"/>
  <c r="N51" i="25" s="1"/>
  <c r="N52" i="25" s="1"/>
  <c r="N33" i="25" s="1"/>
  <c r="O15" i="25"/>
  <c r="N42" i="25"/>
  <c r="N37" i="25"/>
  <c r="N36" i="25"/>
  <c r="N41" i="25"/>
  <c r="G44" i="17"/>
  <c r="G46" i="17" s="1"/>
  <c r="G22" i="17"/>
  <c r="O44" i="17"/>
  <c r="O46" i="17" s="1"/>
  <c r="O22" i="17"/>
  <c r="S44" i="17"/>
  <c r="S46" i="17" s="1"/>
  <c r="S41" i="17"/>
  <c r="S22" i="17"/>
  <c r="J44" i="17"/>
  <c r="J46" i="17" s="1"/>
  <c r="J22" i="17"/>
  <c r="N44" i="17"/>
  <c r="N46" i="17" s="1"/>
  <c r="N22" i="17"/>
  <c r="R22" i="17"/>
  <c r="R44" i="17"/>
  <c r="R46" i="17" s="1"/>
  <c r="R41" i="17"/>
  <c r="L16" i="9"/>
  <c r="L20" i="9" s="1"/>
  <c r="K22" i="9"/>
  <c r="F15" i="17"/>
  <c r="F17" i="17" s="1"/>
  <c r="F17" i="8"/>
  <c r="G21" i="8" s="1"/>
  <c r="G24" i="8" s="1"/>
  <c r="I12" i="8"/>
  <c r="I39" i="8"/>
  <c r="Q21" i="10"/>
  <c r="Q22" i="8"/>
  <c r="P21" i="10"/>
  <c r="P22" i="8"/>
  <c r="H13" i="17"/>
  <c r="K44" i="17"/>
  <c r="K46" i="17" s="1"/>
  <c r="K22" i="17"/>
  <c r="O21" i="10"/>
  <c r="O22" i="8"/>
  <c r="S21" i="10"/>
  <c r="S22" i="8"/>
  <c r="R21" i="10"/>
  <c r="R22" i="8"/>
  <c r="U98" i="3"/>
  <c r="U102" i="3" s="1"/>
  <c r="T104" i="3"/>
  <c r="J32" i="9"/>
  <c r="J38" i="8"/>
  <c r="H12" i="5"/>
  <c r="G15" i="8"/>
  <c r="L44" i="17"/>
  <c r="L46" i="17" s="1"/>
  <c r="L22" i="17"/>
  <c r="I44" i="17"/>
  <c r="I46" i="17" s="1"/>
  <c r="I22" i="17"/>
  <c r="M22" i="17"/>
  <c r="M44" i="17"/>
  <c r="M46" i="17" s="1"/>
  <c r="Q44" i="17"/>
  <c r="Q46" i="17" s="1"/>
  <c r="Q22" i="17"/>
  <c r="H22" i="17"/>
  <c r="H44" i="17"/>
  <c r="H46" i="17" s="1"/>
  <c r="P22" i="17"/>
  <c r="P44" i="17"/>
  <c r="P46" i="17" s="1"/>
  <c r="N43" i="25" l="1"/>
  <c r="N38" i="25"/>
  <c r="N55" i="25" s="1"/>
  <c r="N56" i="25"/>
  <c r="O20" i="25" s="1"/>
  <c r="O18" i="25" s="1"/>
  <c r="I12" i="5"/>
  <c r="H15" i="8"/>
  <c r="V98" i="3"/>
  <c r="V102" i="3" s="1"/>
  <c r="U104" i="3"/>
  <c r="K38" i="8"/>
  <c r="K32" i="9"/>
  <c r="G15" i="17"/>
  <c r="G17" i="17" s="1"/>
  <c r="G49" i="17" s="1"/>
  <c r="G17" i="8"/>
  <c r="H21" i="8" s="1"/>
  <c r="H24" i="8" s="1"/>
  <c r="J12" i="8"/>
  <c r="J39" i="8"/>
  <c r="I13" i="17"/>
  <c r="G21" i="17"/>
  <c r="G24" i="17" s="1"/>
  <c r="M16" i="9"/>
  <c r="M20" i="9" s="1"/>
  <c r="L22" i="9"/>
  <c r="O27" i="25" l="1"/>
  <c r="O32" i="25" s="1"/>
  <c r="G25" i="17"/>
  <c r="L32" i="9"/>
  <c r="L38" i="8"/>
  <c r="G25" i="8"/>
  <c r="H15" i="17"/>
  <c r="H17" i="17" s="1"/>
  <c r="H49" i="17" s="1"/>
  <c r="H17" i="8"/>
  <c r="I21" i="8" s="1"/>
  <c r="I24" i="8" s="1"/>
  <c r="N16" i="9"/>
  <c r="N20" i="9" s="1"/>
  <c r="M22" i="9"/>
  <c r="J13" i="17"/>
  <c r="H21" i="17"/>
  <c r="H24" i="17" s="1"/>
  <c r="K12" i="8"/>
  <c r="K39" i="8"/>
  <c r="W98" i="3"/>
  <c r="W102" i="3" s="1"/>
  <c r="V104" i="3"/>
  <c r="J12" i="5"/>
  <c r="I15" i="8"/>
  <c r="O48" i="25" l="1"/>
  <c r="O49" i="25"/>
  <c r="H25" i="8"/>
  <c r="H25" i="17"/>
  <c r="J15" i="8"/>
  <c r="K12" i="5"/>
  <c r="X98" i="3"/>
  <c r="X102" i="3" s="1"/>
  <c r="W104" i="3"/>
  <c r="K13" i="17"/>
  <c r="M32" i="9"/>
  <c r="M38" i="8"/>
  <c r="L12" i="8"/>
  <c r="L39" i="8"/>
  <c r="I15" i="17"/>
  <c r="I17" i="17" s="1"/>
  <c r="I49" i="17" s="1"/>
  <c r="I17" i="8"/>
  <c r="J21" i="8" s="1"/>
  <c r="J24" i="8" s="1"/>
  <c r="O16" i="9"/>
  <c r="O20" i="9" s="1"/>
  <c r="N22" i="9"/>
  <c r="I21" i="17"/>
  <c r="I24" i="17" s="1"/>
  <c r="O50" i="25" l="1"/>
  <c r="O51" i="25" s="1"/>
  <c r="O52" i="25" s="1"/>
  <c r="O33" i="25" s="1"/>
  <c r="O38" i="25" s="1"/>
  <c r="O55" i="25" s="1"/>
  <c r="O41" i="25"/>
  <c r="O42" i="25"/>
  <c r="O36" i="25"/>
  <c r="P15" i="25"/>
  <c r="O37" i="25"/>
  <c r="O43" i="25"/>
  <c r="P16" i="9"/>
  <c r="P20" i="9" s="1"/>
  <c r="O22" i="9"/>
  <c r="J21" i="17"/>
  <c r="J24" i="17" s="1"/>
  <c r="L13" i="17"/>
  <c r="M12" i="8"/>
  <c r="M39" i="8"/>
  <c r="I25" i="17"/>
  <c r="N32" i="9"/>
  <c r="N38" i="8"/>
  <c r="I25" i="8"/>
  <c r="L12" i="5"/>
  <c r="K15" i="8"/>
  <c r="Y98" i="3"/>
  <c r="Y102" i="3" s="1"/>
  <c r="X104" i="3"/>
  <c r="J15" i="17"/>
  <c r="J17" i="17" s="1"/>
  <c r="J49" i="17" s="1"/>
  <c r="J17" i="8"/>
  <c r="K21" i="8" s="1"/>
  <c r="K24" i="8" s="1"/>
  <c r="O56" i="25" l="1"/>
  <c r="P20" i="25" s="1"/>
  <c r="P18" i="25" s="1"/>
  <c r="Z98" i="3"/>
  <c r="Z102" i="3" s="1"/>
  <c r="Y104" i="3"/>
  <c r="K15" i="17"/>
  <c r="K17" i="17" s="1"/>
  <c r="K17" i="8"/>
  <c r="L21" i="8" s="1"/>
  <c r="L24" i="8" s="1"/>
  <c r="L15" i="8"/>
  <c r="M12" i="5"/>
  <c r="J25" i="8"/>
  <c r="O38" i="8"/>
  <c r="O32" i="9"/>
  <c r="K21" i="17"/>
  <c r="K24" i="17" s="1"/>
  <c r="N12" i="8"/>
  <c r="N39" i="8"/>
  <c r="M13" i="17"/>
  <c r="J25" i="17"/>
  <c r="Q16" i="9"/>
  <c r="Q20" i="9" s="1"/>
  <c r="P22" i="9"/>
  <c r="P27" i="25" l="1"/>
  <c r="P32" i="25" s="1"/>
  <c r="K25" i="17"/>
  <c r="K25" i="8"/>
  <c r="L15" i="17"/>
  <c r="L17" i="17" s="1"/>
  <c r="L49" i="17" s="1"/>
  <c r="L17" i="8"/>
  <c r="M21" i="8" s="1"/>
  <c r="M24" i="8" s="1"/>
  <c r="L21" i="17"/>
  <c r="L24" i="17" s="1"/>
  <c r="AA98" i="3"/>
  <c r="AA102" i="3" s="1"/>
  <c r="Z104" i="3"/>
  <c r="P38" i="8"/>
  <c r="P32" i="9"/>
  <c r="N13" i="17"/>
  <c r="K49" i="17"/>
  <c r="O12" i="8"/>
  <c r="O39" i="8"/>
  <c r="N12" i="5"/>
  <c r="M15" i="8"/>
  <c r="R16" i="9"/>
  <c r="R20" i="9" s="1"/>
  <c r="Q22" i="9"/>
  <c r="P49" i="25" l="1"/>
  <c r="P48" i="25"/>
  <c r="L25" i="8"/>
  <c r="O12" i="5"/>
  <c r="N15" i="8"/>
  <c r="O13" i="17"/>
  <c r="AB98" i="3"/>
  <c r="AB102" i="3" s="1"/>
  <c r="AA104" i="3"/>
  <c r="M21" i="17"/>
  <c r="M24" i="17" s="1"/>
  <c r="S16" i="9"/>
  <c r="S20" i="9" s="1"/>
  <c r="R22" i="9"/>
  <c r="M15" i="17"/>
  <c r="M17" i="17" s="1"/>
  <c r="M17" i="8"/>
  <c r="N21" i="8" s="1"/>
  <c r="N24" i="8" s="1"/>
  <c r="L25" i="17"/>
  <c r="Q38" i="8"/>
  <c r="Q32" i="9"/>
  <c r="P12" i="8"/>
  <c r="P39" i="8"/>
  <c r="P37" i="25" l="1"/>
  <c r="P42" i="25"/>
  <c r="Q15" i="25"/>
  <c r="P36" i="25"/>
  <c r="P41" i="25"/>
  <c r="P50" i="25"/>
  <c r="P51" i="25" s="1"/>
  <c r="P52" i="25" s="1"/>
  <c r="P33" i="25" s="1"/>
  <c r="M25" i="8"/>
  <c r="N21" i="17"/>
  <c r="N24" i="17" s="1"/>
  <c r="T16" i="9"/>
  <c r="T20" i="9" s="1"/>
  <c r="S22" i="9"/>
  <c r="M25" i="17"/>
  <c r="AC98" i="3"/>
  <c r="AC102" i="3" s="1"/>
  <c r="AB104" i="3"/>
  <c r="P12" i="5"/>
  <c r="O15" i="8"/>
  <c r="P13" i="17"/>
  <c r="Q12" i="8"/>
  <c r="Q39" i="8"/>
  <c r="R32" i="9"/>
  <c r="R38" i="8"/>
  <c r="M49" i="17"/>
  <c r="N15" i="17"/>
  <c r="N17" i="17" s="1"/>
  <c r="N17" i="8"/>
  <c r="O21" i="8" s="1"/>
  <c r="O24" i="8" s="1"/>
  <c r="P43" i="25" l="1"/>
  <c r="P38" i="25"/>
  <c r="P55" i="25" s="1"/>
  <c r="N25" i="8"/>
  <c r="O21" i="17"/>
  <c r="O24" i="17" s="1"/>
  <c r="Q13" i="17"/>
  <c r="U16" i="9"/>
  <c r="U20" i="9" s="1"/>
  <c r="T22" i="9"/>
  <c r="N25" i="17"/>
  <c r="O15" i="17"/>
  <c r="O17" i="17" s="1"/>
  <c r="O17" i="8"/>
  <c r="AD98" i="3"/>
  <c r="AD102" i="3" s="1"/>
  <c r="AC104" i="3"/>
  <c r="S38" i="8"/>
  <c r="S32" i="9"/>
  <c r="N49" i="17"/>
  <c r="R12" i="8"/>
  <c r="R39" i="8"/>
  <c r="P15" i="8"/>
  <c r="Q12" i="5"/>
  <c r="P56" i="25" l="1"/>
  <c r="Q20" i="25" s="1"/>
  <c r="AD104" i="3"/>
  <c r="AE98" i="3"/>
  <c r="AE102" i="3" s="1"/>
  <c r="AE104" i="3" s="1"/>
  <c r="Q15" i="8"/>
  <c r="R12" i="5"/>
  <c r="S12" i="8"/>
  <c r="S39" i="8"/>
  <c r="P21" i="17"/>
  <c r="P24" i="17" s="1"/>
  <c r="V16" i="9"/>
  <c r="V20" i="9" s="1"/>
  <c r="U22" i="9"/>
  <c r="O25" i="17"/>
  <c r="P15" i="17"/>
  <c r="P17" i="17" s="1"/>
  <c r="P17" i="8"/>
  <c r="R13" i="17"/>
  <c r="O19" i="8"/>
  <c r="P21" i="8"/>
  <c r="P24" i="8" s="1"/>
  <c r="O25" i="8"/>
  <c r="T32" i="9"/>
  <c r="T38" i="8"/>
  <c r="O49" i="17"/>
  <c r="Q18" i="25" l="1"/>
  <c r="Q27" i="25"/>
  <c r="P25" i="8"/>
  <c r="T12" i="8"/>
  <c r="T39" i="8"/>
  <c r="Q21" i="17"/>
  <c r="Q24" i="17" s="1"/>
  <c r="U38" i="8"/>
  <c r="U32" i="9"/>
  <c r="P25" i="17"/>
  <c r="S12" i="5"/>
  <c r="S15" i="8" s="1"/>
  <c r="S15" i="17" s="1"/>
  <c r="R15" i="8"/>
  <c r="P19" i="8"/>
  <c r="Q21" i="8"/>
  <c r="Q24" i="8" s="1"/>
  <c r="V22" i="9"/>
  <c r="W16" i="9"/>
  <c r="W20" i="9" s="1"/>
  <c r="P49" i="17"/>
  <c r="S13" i="17"/>
  <c r="S17" i="8"/>
  <c r="Q15" i="17"/>
  <c r="Q17" i="17" s="1"/>
  <c r="Q17" i="8"/>
  <c r="Q32" i="25" l="1"/>
  <c r="Q37" i="25" s="1"/>
  <c r="Q36" i="25"/>
  <c r="Q49" i="25"/>
  <c r="Q48" i="25"/>
  <c r="S17" i="17"/>
  <c r="S18" i="17" s="1"/>
  <c r="Q25" i="8"/>
  <c r="R21" i="17"/>
  <c r="R24" i="17" s="1"/>
  <c r="X16" i="9"/>
  <c r="X20" i="9" s="1"/>
  <c r="W22" i="9"/>
  <c r="R15" i="17"/>
  <c r="R17" i="17" s="1"/>
  <c r="R17" i="8"/>
  <c r="U12" i="8"/>
  <c r="U39" i="8"/>
  <c r="Q25" i="17"/>
  <c r="R21" i="8"/>
  <c r="R24" i="8" s="1"/>
  <c r="R25" i="8" s="1"/>
  <c r="Q19" i="8"/>
  <c r="T21" i="8"/>
  <c r="T24" i="8" s="1"/>
  <c r="S19" i="8"/>
  <c r="V32" i="9"/>
  <c r="V38" i="8"/>
  <c r="Q49" i="17"/>
  <c r="T13" i="17"/>
  <c r="T17" i="17" s="1"/>
  <c r="T17" i="8"/>
  <c r="Q42" i="25" l="1"/>
  <c r="Q50" i="25"/>
  <c r="Q51" i="25" s="1"/>
  <c r="Q52" i="25" s="1"/>
  <c r="Q33" i="25" s="1"/>
  <c r="Q43" i="25" s="1"/>
  <c r="R15" i="25"/>
  <c r="Q41" i="25"/>
  <c r="T21" i="17"/>
  <c r="T24" i="17" s="1"/>
  <c r="T25" i="17" s="1"/>
  <c r="U21" i="17"/>
  <c r="U24" i="17" s="1"/>
  <c r="T18" i="17"/>
  <c r="V12" i="8"/>
  <c r="V39" i="8"/>
  <c r="U13" i="17"/>
  <c r="U17" i="17" s="1"/>
  <c r="U17" i="8"/>
  <c r="S21" i="17"/>
  <c r="S24" i="17" s="1"/>
  <c r="S25" i="17" s="1"/>
  <c r="S49" i="17"/>
  <c r="R18" i="17"/>
  <c r="Y16" i="9"/>
  <c r="Y20" i="9" s="1"/>
  <c r="X22" i="9"/>
  <c r="R49" i="17"/>
  <c r="T19" i="8"/>
  <c r="U21" i="8"/>
  <c r="U24" i="8" s="1"/>
  <c r="T25" i="8"/>
  <c r="S21" i="8"/>
  <c r="S24" i="8" s="1"/>
  <c r="S25" i="8" s="1"/>
  <c r="R19" i="8"/>
  <c r="W38" i="8"/>
  <c r="W32" i="9"/>
  <c r="T49" i="17"/>
  <c r="R25" i="17"/>
  <c r="Q38" i="25" l="1"/>
  <c r="Q55" i="25" s="1"/>
  <c r="Q56" i="25" s="1"/>
  <c r="R20" i="25" s="1"/>
  <c r="U25" i="8"/>
  <c r="W12" i="8"/>
  <c r="W39" i="8"/>
  <c r="X32" i="9"/>
  <c r="X38" i="8"/>
  <c r="U18" i="17"/>
  <c r="V21" i="17"/>
  <c r="V24" i="17" s="1"/>
  <c r="V13" i="17"/>
  <c r="V17" i="17" s="1"/>
  <c r="V17" i="8"/>
  <c r="U25" i="17"/>
  <c r="Z16" i="9"/>
  <c r="Z20" i="9" s="1"/>
  <c r="Y22" i="9"/>
  <c r="V21" i="8"/>
  <c r="V24" i="8" s="1"/>
  <c r="U19" i="8"/>
  <c r="U49" i="17"/>
  <c r="R18" i="25" l="1"/>
  <c r="V25" i="8"/>
  <c r="V25" i="17"/>
  <c r="Y38" i="8"/>
  <c r="Y32" i="9"/>
  <c r="V18" i="17"/>
  <c r="W21" i="17"/>
  <c r="W24" i="17" s="1"/>
  <c r="X12" i="8"/>
  <c r="X39" i="8"/>
  <c r="Z22" i="9"/>
  <c r="AA16" i="9"/>
  <c r="AA20" i="9" s="1"/>
  <c r="W21" i="8"/>
  <c r="W24" i="8" s="1"/>
  <c r="V19" i="8"/>
  <c r="V49" i="17"/>
  <c r="W13" i="17"/>
  <c r="W17" i="17" s="1"/>
  <c r="W17" i="8"/>
  <c r="R27" i="25" l="1"/>
  <c r="R48" i="25" s="1"/>
  <c r="W25" i="17"/>
  <c r="Z38" i="8"/>
  <c r="Z32" i="9"/>
  <c r="X21" i="8"/>
  <c r="X24" i="8" s="1"/>
  <c r="W19" i="8"/>
  <c r="W25" i="8"/>
  <c r="X13" i="17"/>
  <c r="X17" i="8"/>
  <c r="X21" i="17"/>
  <c r="X24" i="17" s="1"/>
  <c r="W18" i="17"/>
  <c r="AA22" i="9"/>
  <c r="AB16" i="9"/>
  <c r="AB20" i="9" s="1"/>
  <c r="W49" i="17"/>
  <c r="Y12" i="8"/>
  <c r="Y39" i="8"/>
  <c r="R49" i="25" l="1"/>
  <c r="R50" i="25" s="1"/>
  <c r="R51" i="25" s="1"/>
  <c r="R52" i="25" s="1"/>
  <c r="R33" i="25" s="1"/>
  <c r="R32" i="25"/>
  <c r="R37" i="25"/>
  <c r="S15" i="25"/>
  <c r="R41" i="25"/>
  <c r="R42" i="25"/>
  <c r="R36" i="25"/>
  <c r="AA32" i="9"/>
  <c r="AA38" i="8"/>
  <c r="X19" i="8"/>
  <c r="Y21" i="8"/>
  <c r="Y24" i="8" s="1"/>
  <c r="X25" i="8"/>
  <c r="Y13" i="17"/>
  <c r="Y17" i="8"/>
  <c r="AB22" i="9"/>
  <c r="AC16" i="9"/>
  <c r="AC20" i="9" s="1"/>
  <c r="X17" i="17"/>
  <c r="Z12" i="8"/>
  <c r="Z39" i="8"/>
  <c r="R43" i="25" l="1"/>
  <c r="R38" i="25"/>
  <c r="R55" i="25" s="1"/>
  <c r="Y21" i="17"/>
  <c r="Y24" i="17" s="1"/>
  <c r="X18" i="17"/>
  <c r="X49" i="17"/>
  <c r="Y19" i="8"/>
  <c r="Z21" i="8"/>
  <c r="Z24" i="8" s="1"/>
  <c r="AA39" i="8"/>
  <c r="AA12" i="8"/>
  <c r="AC22" i="9"/>
  <c r="AD16" i="9"/>
  <c r="AD20" i="9" s="1"/>
  <c r="Z13" i="17"/>
  <c r="Z17" i="8"/>
  <c r="AB32" i="9"/>
  <c r="AB38" i="8"/>
  <c r="Y17" i="17"/>
  <c r="Y25" i="8"/>
  <c r="X25" i="17"/>
  <c r="R56" i="25" l="1"/>
  <c r="S20" i="25" s="1"/>
  <c r="E33" i="18"/>
  <c r="Z17" i="17"/>
  <c r="Z18" i="17" s="1"/>
  <c r="AA21" i="8"/>
  <c r="AA24" i="8" s="1"/>
  <c r="Z19" i="8"/>
  <c r="AD22" i="9"/>
  <c r="AD32" i="9" s="1"/>
  <c r="AE16" i="9"/>
  <c r="AE20" i="9" s="1"/>
  <c r="Z21" i="17"/>
  <c r="Z24" i="17" s="1"/>
  <c r="Y18" i="17"/>
  <c r="AB39" i="8"/>
  <c r="AB12" i="8"/>
  <c r="AA17" i="8"/>
  <c r="AA13" i="17"/>
  <c r="E28" i="18" s="1"/>
  <c r="Z25" i="8"/>
  <c r="Y25" i="17"/>
  <c r="AC32" i="9"/>
  <c r="AC38" i="8"/>
  <c r="Y49" i="17"/>
  <c r="S27" i="25" l="1"/>
  <c r="S18" i="25"/>
  <c r="AE22" i="9"/>
  <c r="AE32" i="9" s="1"/>
  <c r="AF16" i="9"/>
  <c r="AF20" i="9" s="1"/>
  <c r="AF22" i="9" s="1"/>
  <c r="AB21" i="8"/>
  <c r="AB24" i="8" s="1"/>
  <c r="AA19" i="8"/>
  <c r="AA21" i="17"/>
  <c r="AA24" i="17" s="1"/>
  <c r="Z49" i="17"/>
  <c r="Z25" i="17"/>
  <c r="AA17" i="17"/>
  <c r="AD38" i="8"/>
  <c r="AD39" i="8" s="1"/>
  <c r="AA25" i="8"/>
  <c r="AC39" i="8"/>
  <c r="AC12" i="8"/>
  <c r="AB17" i="8"/>
  <c r="AB13" i="17"/>
  <c r="S32" i="25" l="1"/>
  <c r="S41" i="25" s="1"/>
  <c r="S48" i="25"/>
  <c r="S49" i="25"/>
  <c r="AB17" i="17"/>
  <c r="AC21" i="17" s="1"/>
  <c r="AC24" i="17" s="1"/>
  <c r="D28" i="18"/>
  <c r="D33" i="18" s="1"/>
  <c r="AC21" i="8"/>
  <c r="AC24" i="8" s="1"/>
  <c r="AB19" i="8"/>
  <c r="C52" i="18" s="1"/>
  <c r="C54" i="18" s="1"/>
  <c r="E54" i="18" s="1"/>
  <c r="AF32" i="9"/>
  <c r="AF38" i="8"/>
  <c r="AE38" i="8"/>
  <c r="AE12" i="8" s="1"/>
  <c r="C56" i="18"/>
  <c r="E56" i="18" s="1"/>
  <c r="E52" i="18"/>
  <c r="AA25" i="17"/>
  <c r="AB21" i="17"/>
  <c r="AB24" i="17" s="1"/>
  <c r="AA49" i="17"/>
  <c r="AA18" i="17"/>
  <c r="G28" i="18"/>
  <c r="AD12" i="8"/>
  <c r="AD17" i="8" s="1"/>
  <c r="AE21" i="8" s="1"/>
  <c r="AE24" i="8" s="1"/>
  <c r="AB18" i="17"/>
  <c r="AB25" i="8"/>
  <c r="AC13" i="17"/>
  <c r="AC17" i="17" s="1"/>
  <c r="AC17" i="8"/>
  <c r="AD21" i="8" s="1"/>
  <c r="AD24" i="8" s="1"/>
  <c r="AB49" i="17"/>
  <c r="S42" i="25" l="1"/>
  <c r="S36" i="25"/>
  <c r="T15" i="25"/>
  <c r="S37" i="25"/>
  <c r="S50" i="25"/>
  <c r="S51" i="25" s="1"/>
  <c r="S52" i="25" s="1"/>
  <c r="S33" i="25" s="1"/>
  <c r="S38" i="25" s="1"/>
  <c r="S55" i="25" s="1"/>
  <c r="AC49" i="17"/>
  <c r="AB25" i="17"/>
  <c r="AF12" i="8"/>
  <c r="AF39" i="8"/>
  <c r="AE39" i="8"/>
  <c r="G33" i="18"/>
  <c r="H33" i="18" s="1"/>
  <c r="H28" i="18"/>
  <c r="AD13" i="17"/>
  <c r="AD17" i="17" s="1"/>
  <c r="AD18" i="17" s="1"/>
  <c r="AE17" i="8"/>
  <c r="AE13" i="17"/>
  <c r="AE17" i="17" s="1"/>
  <c r="AD25" i="8"/>
  <c r="AD21" i="17"/>
  <c r="AD24" i="17" s="1"/>
  <c r="AC18" i="17"/>
  <c r="AC25" i="17"/>
  <c r="AC25" i="8"/>
  <c r="S43" i="25" l="1"/>
  <c r="S56" i="25"/>
  <c r="T20" i="25" s="1"/>
  <c r="AF17" i="8"/>
  <c r="AF13" i="17"/>
  <c r="AF17" i="17" s="1"/>
  <c r="AF18" i="17" s="1"/>
  <c r="AE18" i="17"/>
  <c r="AF21" i="17"/>
  <c r="AF24" i="17" s="1"/>
  <c r="AE25" i="8"/>
  <c r="AF21" i="8"/>
  <c r="AF24" i="8" s="1"/>
  <c r="AE21" i="17"/>
  <c r="AE24" i="17" s="1"/>
  <c r="AE25" i="17" s="1"/>
  <c r="AD49" i="17"/>
  <c r="AE49" i="17"/>
  <c r="AD25" i="17"/>
  <c r="T27" i="25" l="1"/>
  <c r="T18" i="25"/>
  <c r="AF25" i="17"/>
  <c r="AF25" i="8"/>
  <c r="AF49" i="17"/>
  <c r="T32" i="25" l="1"/>
  <c r="T48" i="25"/>
  <c r="T49" i="25"/>
  <c r="T50" i="25" l="1"/>
  <c r="T51" i="25" s="1"/>
  <c r="T52" i="25" s="1"/>
  <c r="T33" i="25" s="1"/>
  <c r="T38" i="25" s="1"/>
  <c r="T55" i="25" s="1"/>
  <c r="U15" i="25"/>
  <c r="T42" i="25"/>
  <c r="T36" i="25"/>
  <c r="T41" i="25"/>
  <c r="T37" i="25"/>
  <c r="T43" i="25" l="1"/>
  <c r="T56" i="25"/>
  <c r="U20" i="25" s="1"/>
  <c r="U18" i="25" s="1"/>
  <c r="U27" i="25" l="1"/>
  <c r="U32" i="25" s="1"/>
  <c r="U49" i="25" l="1"/>
  <c r="U48" i="25"/>
  <c r="U50" i="25" s="1"/>
  <c r="U51" i="25" s="1"/>
  <c r="U52" i="25" s="1"/>
  <c r="U33" i="25" s="1"/>
  <c r="U42" i="25"/>
  <c r="U36" i="25"/>
  <c r="V15" i="25"/>
  <c r="U37" i="25"/>
  <c r="U41" i="25"/>
  <c r="U38" i="25" l="1"/>
  <c r="U55" i="25" s="1"/>
  <c r="U43" i="25"/>
  <c r="U56" i="25" l="1"/>
  <c r="V20" i="25" s="1"/>
  <c r="V18" i="25" l="1"/>
  <c r="V27" i="25" l="1"/>
  <c r="V32" i="25" s="1"/>
  <c r="V41" i="25" l="1"/>
  <c r="V42" i="25"/>
  <c r="W15" i="25"/>
  <c r="V37" i="25"/>
  <c r="V36" i="25"/>
  <c r="V48" i="25"/>
  <c r="V50" i="25" s="1"/>
  <c r="V51" i="25" s="1"/>
  <c r="V52" i="25" s="1"/>
  <c r="V33" i="25" s="1"/>
  <c r="V38" i="25" s="1"/>
  <c r="V55" i="25" s="1"/>
  <c r="V49" i="25"/>
  <c r="V43" i="25" l="1"/>
  <c r="V56" i="25"/>
  <c r="W20" i="25" s="1"/>
  <c r="W18" i="25" l="1"/>
  <c r="W27" i="25" l="1"/>
  <c r="W32" i="25" s="1"/>
  <c r="W48" i="25" l="1"/>
  <c r="W49" i="25"/>
  <c r="X15" i="25"/>
  <c r="W37" i="25"/>
  <c r="W36" i="25"/>
  <c r="W41" i="25"/>
  <c r="W42" i="25"/>
  <c r="W50" i="25" l="1"/>
  <c r="W51" i="25" s="1"/>
  <c r="W52" i="25" s="1"/>
  <c r="W33" i="25" s="1"/>
  <c r="W43" i="25" s="1"/>
  <c r="W38" i="25" l="1"/>
  <c r="W55" i="25" s="1"/>
  <c r="W56" i="25"/>
  <c r="X20" i="25" s="1"/>
  <c r="X18" i="25" s="1"/>
  <c r="X27" i="25" l="1"/>
  <c r="X48" i="25" s="1"/>
  <c r="X32" i="25" l="1"/>
  <c r="X49" i="25"/>
  <c r="X50" i="25" s="1"/>
  <c r="X51" i="25" s="1"/>
  <c r="X52" i="25" s="1"/>
  <c r="X33" i="25" s="1"/>
  <c r="X43" i="25" s="1"/>
  <c r="X41" i="25"/>
  <c r="X36" i="25"/>
  <c r="X38" i="25" l="1"/>
  <c r="X55" i="25" s="1"/>
  <c r="X56" i="25" s="1"/>
  <c r="Y20" i="25" s="1"/>
  <c r="Y15" i="25"/>
  <c r="X42" i="25"/>
  <c r="X37" i="25"/>
  <c r="Y18" i="25" l="1"/>
  <c r="Y27" i="25" s="1"/>
  <c r="Y32" i="25" s="1"/>
  <c r="Y48" i="25" l="1"/>
  <c r="Y49" i="25"/>
  <c r="Y36" i="25" l="1"/>
  <c r="Y42" i="25"/>
  <c r="Y37" i="25"/>
  <c r="Z15" i="25"/>
  <c r="Y41" i="25"/>
  <c r="Y50" i="25"/>
  <c r="Y51" i="25" s="1"/>
  <c r="Y52" i="25" s="1"/>
  <c r="Y33" i="25" s="1"/>
  <c r="Y43" i="25" l="1"/>
  <c r="Y38" i="25"/>
  <c r="Y55" i="25" s="1"/>
  <c r="Y56" i="25" l="1"/>
  <c r="Z20" i="25" s="1"/>
  <c r="Z18" i="25" l="1"/>
  <c r="Z27" i="25" l="1"/>
  <c r="Z32" i="25" s="1"/>
  <c r="Z48" i="25" l="1"/>
  <c r="Z49" i="25"/>
  <c r="Z37" i="25"/>
  <c r="Z36" i="25"/>
  <c r="AA15" i="25"/>
  <c r="Z42" i="25"/>
  <c r="Z41" i="25"/>
  <c r="Z50" i="25" l="1"/>
  <c r="Z51" i="25" s="1"/>
  <c r="Z52" i="25" s="1"/>
  <c r="Z33" i="25" s="1"/>
  <c r="Z38" i="25" s="1"/>
  <c r="Z55" i="25" s="1"/>
  <c r="Z56" i="25" s="1"/>
  <c r="AA20" i="25" s="1"/>
  <c r="AA18" i="25" s="1"/>
  <c r="Z43" i="25" l="1"/>
  <c r="AA27" i="25"/>
  <c r="AA32" i="25" s="1"/>
  <c r="AA48" i="25" l="1"/>
  <c r="AA49" i="25"/>
  <c r="AA37" i="25"/>
  <c r="AA36" i="25"/>
  <c r="AA41" i="25"/>
  <c r="AA42" i="25"/>
  <c r="AB15" i="25"/>
  <c r="AA50" i="25" l="1"/>
  <c r="AA51" i="25" s="1"/>
  <c r="AA52" i="25" s="1"/>
  <c r="AA33" i="25" s="1"/>
  <c r="AA43" i="25" s="1"/>
  <c r="AA38" i="25" l="1"/>
  <c r="AA55" i="25" s="1"/>
  <c r="AA56" i="25" s="1"/>
  <c r="AB20" i="25" s="1"/>
  <c r="AB18" i="25" s="1"/>
  <c r="AB27" i="25" l="1"/>
  <c r="AB32" i="25" s="1"/>
  <c r="AB41" i="25" l="1"/>
  <c r="AB42" i="25"/>
  <c r="AB48" i="25"/>
  <c r="AB50" i="25" s="1"/>
  <c r="AB51" i="25" s="1"/>
  <c r="AB52" i="25" s="1"/>
  <c r="AB33" i="25" s="1"/>
  <c r="AB49" i="25"/>
  <c r="AB37" i="25"/>
  <c r="AB36" i="25"/>
  <c r="AC15" i="25"/>
  <c r="AB38" i="25" l="1"/>
  <c r="AB55" i="25" s="1"/>
  <c r="AB43" i="25"/>
  <c r="AB56" i="25" l="1"/>
  <c r="AC20" i="25" s="1"/>
  <c r="AC18" i="25" l="1"/>
  <c r="AC27" i="25" l="1"/>
  <c r="AC32" i="25" s="1"/>
  <c r="AC48" i="25" l="1"/>
  <c r="AC50" i="25" s="1"/>
  <c r="AC51" i="25" s="1"/>
  <c r="AC52" i="25" s="1"/>
  <c r="AC33" i="25" s="1"/>
  <c r="AC38" i="25" s="1"/>
  <c r="AC55" i="25" s="1"/>
  <c r="AC49" i="25"/>
  <c r="AC42" i="25"/>
  <c r="AC41" i="25"/>
  <c r="AC36" i="25"/>
  <c r="AC37" i="25"/>
  <c r="AD15" i="25"/>
  <c r="AC43" i="25" l="1"/>
  <c r="AC56" i="25"/>
  <c r="AD20" i="25" s="1"/>
  <c r="AD18" i="25" s="1"/>
  <c r="AD27" i="25" l="1"/>
  <c r="AD32" i="25" s="1"/>
  <c r="AD48" i="25" l="1"/>
  <c r="AD49" i="25"/>
  <c r="AD36" i="25"/>
  <c r="AD42" i="25"/>
  <c r="AD37" i="25"/>
  <c r="AD41" i="25"/>
  <c r="AE15" i="25"/>
  <c r="AD50" i="25" l="1"/>
  <c r="AD51" i="25" s="1"/>
  <c r="AD52" i="25" s="1"/>
  <c r="AD33" i="25" s="1"/>
  <c r="AD43" i="25" l="1"/>
  <c r="AD38" i="25"/>
  <c r="AD55" i="25" s="1"/>
  <c r="AD56" i="25" s="1"/>
  <c r="AE20" i="25" s="1"/>
  <c r="AE18" i="25" s="1"/>
  <c r="AE27" i="25" l="1"/>
  <c r="AE32" i="25" s="1"/>
  <c r="AF15" i="25" s="1"/>
  <c r="AE41" i="25" l="1"/>
  <c r="AE37" i="25"/>
  <c r="AE42" i="25"/>
  <c r="AE36" i="25"/>
  <c r="AE49" i="25"/>
  <c r="AE48" i="25"/>
  <c r="AE50" i="25" s="1"/>
  <c r="AE51" i="25" s="1"/>
  <c r="AE52" i="25" s="1"/>
  <c r="AE33" i="25" s="1"/>
  <c r="AE38" i="25" s="1"/>
  <c r="AE55" i="25" s="1"/>
  <c r="AE43" i="25" l="1"/>
  <c r="AE56" i="25"/>
  <c r="AF20" i="25" s="1"/>
  <c r="AF18" i="25" l="1"/>
  <c r="AF27" i="25" l="1"/>
  <c r="AF49" i="25" s="1"/>
  <c r="AF48" i="25" l="1"/>
  <c r="AF32" i="25"/>
  <c r="AF50" i="25"/>
  <c r="AF51" i="25" s="1"/>
  <c r="AF52" i="25" s="1"/>
  <c r="AF33" i="25" s="1"/>
  <c r="AF41" i="25" l="1"/>
  <c r="AG15" i="25"/>
  <c r="AF37" i="25"/>
  <c r="AF36" i="25"/>
  <c r="AF42" i="25"/>
  <c r="AF43" i="25"/>
  <c r="AF38" i="25"/>
  <c r="AF55" i="25" s="1"/>
  <c r="AF56" i="25" l="1"/>
  <c r="AG20" i="25" s="1"/>
  <c r="AG18" i="25" l="1"/>
  <c r="AG27" i="25" l="1"/>
  <c r="AG48" i="25" s="1"/>
  <c r="AG49" i="25" l="1"/>
  <c r="AG50" i="25"/>
  <c r="AG51" i="25" s="1"/>
  <c r="AG52" i="25" s="1"/>
  <c r="AG33" i="25" s="1"/>
  <c r="AG38" i="25" s="1"/>
  <c r="AG55" i="25" s="1"/>
  <c r="AG32" i="25"/>
  <c r="AG43" i="25" l="1"/>
  <c r="AG41" i="25"/>
  <c r="AH15" i="25"/>
  <c r="AG36" i="25"/>
  <c r="AG42" i="25"/>
  <c r="AG37" i="25"/>
  <c r="AG56" i="25"/>
  <c r="AH20" i="25" s="1"/>
  <c r="AH18" i="25" l="1"/>
  <c r="AH27" i="25" s="1"/>
  <c r="AH32" i="25" s="1"/>
  <c r="AH48" i="25" l="1"/>
  <c r="AH49" i="25"/>
  <c r="AH36" i="25" l="1"/>
  <c r="AI15" i="25"/>
  <c r="AH37" i="25"/>
  <c r="AH42" i="25"/>
  <c r="AH41" i="25"/>
  <c r="AH50" i="25"/>
  <c r="AH51" i="25" s="1"/>
  <c r="AH52" i="25" s="1"/>
  <c r="AH33" i="25" s="1"/>
  <c r="AH43" i="25" l="1"/>
  <c r="AH38" i="25"/>
  <c r="AH55" i="25" s="1"/>
  <c r="AH56" i="25" l="1"/>
  <c r="AI20" i="25" s="1"/>
  <c r="AI18" i="25" l="1"/>
  <c r="AI27" i="25" l="1"/>
  <c r="AI32" i="25" s="1"/>
  <c r="AI49" i="25" l="1"/>
  <c r="AI48" i="25"/>
  <c r="AI50" i="25" s="1"/>
  <c r="AI51" i="25" s="1"/>
  <c r="AI52" i="25" s="1"/>
  <c r="AI33" i="25" s="1"/>
  <c r="AI41" i="25"/>
  <c r="AI37" i="25"/>
  <c r="AJ15" i="25"/>
  <c r="AI36" i="25"/>
  <c r="AI42" i="25"/>
  <c r="AI38" i="25" l="1"/>
  <c r="AI55" i="25" s="1"/>
  <c r="AI43" i="25"/>
  <c r="AI56" i="25" l="1"/>
  <c r="AJ20" i="25" s="1"/>
  <c r="AJ18" i="25" l="1"/>
  <c r="AJ27" i="25" l="1"/>
  <c r="AJ32" i="25" s="1"/>
  <c r="AJ49" i="25" l="1"/>
  <c r="AJ48" i="25"/>
  <c r="AJ50" i="25" s="1"/>
  <c r="AJ51" i="25" s="1"/>
  <c r="AJ52" i="25" s="1"/>
  <c r="AJ33" i="25" s="1"/>
  <c r="AJ37" i="25"/>
  <c r="AK15" i="25"/>
  <c r="AJ41" i="25"/>
  <c r="AJ42" i="25"/>
  <c r="AJ36" i="25"/>
  <c r="AJ43" i="25" l="1"/>
  <c r="AJ38" i="25"/>
  <c r="AJ55" i="25" s="1"/>
  <c r="AJ56" i="25" l="1"/>
  <c r="AK20" i="25" s="1"/>
  <c r="AK18" i="25" l="1"/>
  <c r="AK27" i="25" l="1"/>
  <c r="AK32" i="25" s="1"/>
  <c r="AK49" i="25" l="1"/>
  <c r="AK48" i="25"/>
  <c r="AK50" i="25" s="1"/>
  <c r="AK51" i="25" s="1"/>
  <c r="AK52" i="25" s="1"/>
  <c r="AK33" i="25" s="1"/>
  <c r="AL15" i="25"/>
  <c r="AK41" i="25"/>
  <c r="AK37" i="25"/>
  <c r="AK36" i="25"/>
  <c r="AK42" i="25"/>
  <c r="AK43" i="25" l="1"/>
  <c r="AK38" i="25"/>
  <c r="AK55" i="25" s="1"/>
  <c r="AK56" i="25" l="1"/>
  <c r="AL20" i="25" s="1"/>
  <c r="AL18" i="25" l="1"/>
  <c r="AL27" i="25" l="1"/>
  <c r="AL32" i="25" s="1"/>
  <c r="AL49" i="25" l="1"/>
  <c r="AL48" i="25"/>
  <c r="AM15" i="25"/>
  <c r="AL37" i="25"/>
  <c r="AL42" i="25"/>
  <c r="AL36" i="25"/>
  <c r="AL41" i="25"/>
  <c r="AL50" i="25" l="1"/>
  <c r="AL51" i="25" s="1"/>
  <c r="AL52" i="25" s="1"/>
  <c r="AL33" i="25" s="1"/>
  <c r="AL38" i="25" l="1"/>
  <c r="AL55" i="25" s="1"/>
  <c r="AL43" i="25"/>
  <c r="AL56" i="25" l="1"/>
  <c r="AM20" i="25" s="1"/>
  <c r="AM18" i="25" l="1"/>
  <c r="AM27" i="25"/>
  <c r="AM48" i="25" l="1"/>
  <c r="AM49" i="25"/>
  <c r="AM32" i="25"/>
  <c r="AM42" i="25" l="1"/>
  <c r="AM36" i="25"/>
  <c r="AM41" i="25"/>
  <c r="AM37" i="25"/>
  <c r="AM50" i="25"/>
  <c r="AM51" i="25" s="1"/>
  <c r="AM52" i="25" s="1"/>
  <c r="AM33" i="25" s="1"/>
  <c r="AM43" i="25" l="1"/>
  <c r="AM38" i="25"/>
  <c r="AM55" i="25" s="1"/>
  <c r="AM56" i="25" l="1"/>
  <c r="AN20" i="25" s="1"/>
  <c r="AN18" i="25" l="1"/>
  <c r="AN59" i="25"/>
  <c r="AN27" i="25"/>
  <c r="AN48" i="25" l="1"/>
  <c r="AN49" i="25"/>
  <c r="AN32" i="25"/>
  <c r="AO15" i="25" l="1"/>
  <c r="AN36" i="25"/>
  <c r="AN42" i="25"/>
  <c r="AN37" i="25"/>
  <c r="AN41" i="25"/>
  <c r="AN50" i="25"/>
  <c r="AN51" i="25" s="1"/>
  <c r="AN52" i="25" s="1"/>
  <c r="AN33" i="25" s="1"/>
  <c r="AN43" i="25" l="1"/>
  <c r="AN38" i="25"/>
  <c r="AN55" i="25" s="1"/>
  <c r="AN56" i="25" s="1"/>
  <c r="AO20" i="25" s="1"/>
  <c r="AO18" i="25" l="1"/>
  <c r="AO59" i="25"/>
  <c r="AO27" i="25" l="1"/>
  <c r="AO49" i="25" l="1"/>
  <c r="AO48" i="25"/>
  <c r="AO32" i="25"/>
  <c r="AP15" i="25" l="1"/>
  <c r="AO41" i="25"/>
  <c r="AO36" i="25"/>
  <c r="AO42" i="25"/>
  <c r="AO37" i="25"/>
  <c r="AO50" i="25"/>
  <c r="AO51" i="25" s="1"/>
  <c r="AO52" i="25" s="1"/>
  <c r="AO33" i="25" s="1"/>
  <c r="AO43" i="25" l="1"/>
  <c r="AO38" i="25"/>
  <c r="AO55" i="25" s="1"/>
  <c r="AO56" i="25" s="1"/>
  <c r="AP20" i="25" s="1"/>
  <c r="AP18" i="25" l="1"/>
  <c r="AP59" i="25"/>
  <c r="AP27" i="25" l="1"/>
  <c r="AP48" i="25" l="1"/>
  <c r="AP49" i="25"/>
  <c r="AP32" i="25"/>
  <c r="AP50" i="25" l="1"/>
  <c r="AP51" i="25" s="1"/>
  <c r="AP52" i="25" s="1"/>
  <c r="AP33" i="25" s="1"/>
  <c r="AQ15" i="25"/>
  <c r="AP41" i="25"/>
  <c r="AP36" i="25"/>
  <c r="AP42" i="25"/>
  <c r="AP37" i="25"/>
  <c r="AP38" i="25" l="1"/>
  <c r="AP55" i="25" s="1"/>
  <c r="AP56" i="25" s="1"/>
  <c r="AQ20" i="25" s="1"/>
  <c r="AP43" i="25"/>
  <c r="AQ27" i="25" l="1"/>
  <c r="AQ18" i="25"/>
  <c r="AQ59" i="25"/>
  <c r="AQ48" i="25" l="1"/>
  <c r="AQ49" i="25"/>
  <c r="AQ50" i="25" s="1"/>
  <c r="AQ51" i="25" s="1"/>
  <c r="AQ52" i="25" s="1"/>
  <c r="AQ32" i="25"/>
  <c r="AR15" i="25" l="1"/>
  <c r="AQ37" i="25"/>
  <c r="AQ33" i="25"/>
  <c r="AQ41" i="25"/>
  <c r="AQ36" i="25"/>
  <c r="AQ42" i="25"/>
  <c r="AQ43" i="25" l="1"/>
  <c r="AQ38" i="25"/>
  <c r="AQ55" i="25" s="1"/>
  <c r="AQ56" i="25" s="1"/>
  <c r="AR20" i="25" s="1"/>
  <c r="AR18" i="25" l="1"/>
  <c r="AR59" i="25"/>
  <c r="AR27" i="25" l="1"/>
  <c r="AR32" i="25" s="1"/>
  <c r="AS15" i="25" l="1"/>
  <c r="AR36" i="25"/>
  <c r="AR42" i="25"/>
  <c r="AR37" i="25"/>
  <c r="AR41" i="25"/>
  <c r="AR48" i="25"/>
  <c r="AR49" i="25"/>
  <c r="AR50" i="25" l="1"/>
  <c r="AR51" i="25" s="1"/>
  <c r="AR52" i="25" s="1"/>
  <c r="AR33" i="25" s="1"/>
  <c r="AR43" i="25" l="1"/>
  <c r="AR38" i="25"/>
  <c r="AR55" i="25" s="1"/>
  <c r="AR56" i="25" s="1"/>
  <c r="AS20" i="25" s="1"/>
  <c r="AS18" i="25" l="1"/>
  <c r="AS59" i="25"/>
  <c r="AS27" i="25"/>
  <c r="AS32" i="25" l="1"/>
  <c r="AS49" i="25"/>
  <c r="AS48" i="25"/>
  <c r="AT15" i="25" l="1"/>
  <c r="AS41" i="25"/>
  <c r="AS36" i="25"/>
  <c r="AS42" i="25"/>
  <c r="AS37" i="25"/>
  <c r="AS50" i="25"/>
  <c r="AS51" i="25" s="1"/>
  <c r="AS52" i="25" s="1"/>
  <c r="AS33" i="25" s="1"/>
  <c r="AS43" i="25" l="1"/>
  <c r="AS38" i="25"/>
  <c r="AS55" i="25" s="1"/>
  <c r="AS56" i="25" s="1"/>
  <c r="AT20" i="25" s="1"/>
  <c r="AT18" i="25" l="1"/>
  <c r="AT27" i="25" s="1"/>
  <c r="AT59" i="25"/>
  <c r="AT48" i="25" l="1"/>
  <c r="AT49" i="25"/>
  <c r="AT32" i="25"/>
  <c r="AU15" i="25" l="1"/>
  <c r="AT41" i="25"/>
  <c r="AT36" i="25"/>
  <c r="AT42" i="25"/>
  <c r="AT37" i="25"/>
  <c r="AT50" i="25"/>
  <c r="AT51" i="25" s="1"/>
  <c r="AT52" i="25" s="1"/>
  <c r="AT33" i="25" s="1"/>
  <c r="AT38" i="25" l="1"/>
  <c r="AT55" i="25" s="1"/>
  <c r="AT56" i="25" s="1"/>
  <c r="AU20" i="25" s="1"/>
  <c r="AT43" i="25"/>
  <c r="AU18" i="25" l="1"/>
  <c r="AU59" i="25"/>
  <c r="AU27" i="25" l="1"/>
  <c r="AU49" i="25" l="1"/>
  <c r="AU48" i="25"/>
  <c r="AU32" i="25"/>
  <c r="AU37" i="25" l="1"/>
  <c r="AV15" i="25"/>
  <c r="AU41" i="25"/>
  <c r="AU36" i="25"/>
  <c r="AU42" i="25"/>
  <c r="AU50" i="25"/>
  <c r="AU51" i="25" s="1"/>
  <c r="AU52" i="25" s="1"/>
  <c r="AU33" i="25" s="1"/>
  <c r="AU43" i="25" l="1"/>
  <c r="AU38" i="25"/>
  <c r="AU55" i="25" s="1"/>
  <c r="AU56" i="25" s="1"/>
  <c r="AV20" i="25" s="1"/>
  <c r="AV18" i="25" l="1"/>
  <c r="AV59" i="25"/>
  <c r="AV27" i="25" l="1"/>
  <c r="AV48" i="25" l="1"/>
  <c r="AV49" i="25"/>
  <c r="AV50" i="25" s="1"/>
  <c r="AV51" i="25" s="1"/>
  <c r="AV52" i="25" s="1"/>
  <c r="AV32" i="25"/>
  <c r="AW15" i="25" l="1"/>
  <c r="AV36" i="25"/>
  <c r="AV42" i="25"/>
  <c r="AV37" i="25"/>
  <c r="AV33" i="25"/>
  <c r="AV41" i="25"/>
  <c r="AV43" i="25" l="1"/>
  <c r="AV38" i="25"/>
  <c r="AV55" i="25" s="1"/>
  <c r="AV56" i="25" s="1"/>
  <c r="AW20" i="25" s="1"/>
  <c r="AW18" i="25" l="1"/>
  <c r="AW59" i="25"/>
  <c r="AW27" i="25" l="1"/>
  <c r="AW49" i="25" l="1"/>
  <c r="AW48" i="25"/>
  <c r="AW32" i="25"/>
  <c r="AX15" i="25" l="1"/>
  <c r="AW41" i="25"/>
  <c r="AW36" i="25"/>
  <c r="AW42" i="25"/>
  <c r="AW37" i="25"/>
  <c r="AW50" i="25"/>
  <c r="AW51" i="25" s="1"/>
  <c r="AW52" i="25" s="1"/>
  <c r="AW33" i="25" s="1"/>
  <c r="AW43" i="25" l="1"/>
  <c r="AW38" i="25"/>
  <c r="AW55" i="25" s="1"/>
  <c r="AW56" i="25" s="1"/>
  <c r="AX20" i="25" s="1"/>
  <c r="AX18" i="25" l="1"/>
  <c r="AX59" i="25"/>
  <c r="AX27" i="25"/>
  <c r="AX48" i="25" l="1"/>
  <c r="AX49" i="25"/>
  <c r="AX50" i="25" s="1"/>
  <c r="AX51" i="25" s="1"/>
  <c r="AX52" i="25" s="1"/>
  <c r="AX32" i="25"/>
  <c r="AY15" i="25" l="1"/>
  <c r="AX33" i="25"/>
  <c r="AX41" i="25"/>
  <c r="AX36" i="25"/>
  <c r="AX42" i="25"/>
  <c r="AX37" i="25"/>
  <c r="AX38" i="25" l="1"/>
  <c r="AX55" i="25" s="1"/>
  <c r="AX56" i="25" s="1"/>
  <c r="AY20" i="25" s="1"/>
  <c r="AX43" i="25"/>
  <c r="AY18" i="25" l="1"/>
  <c r="AY59" i="25"/>
  <c r="AY27" i="25" l="1"/>
  <c r="AY49" i="25" l="1"/>
  <c r="AY48" i="25"/>
  <c r="AY32" i="25"/>
  <c r="AY37" i="25" l="1"/>
  <c r="AZ15" i="25"/>
  <c r="AY41" i="25"/>
  <c r="AY36" i="25"/>
  <c r="AY42" i="25"/>
  <c r="AY50" i="25"/>
  <c r="AY51" i="25" s="1"/>
  <c r="AY52" i="25" s="1"/>
  <c r="AY33" i="25" s="1"/>
  <c r="AY43" i="25" l="1"/>
  <c r="AY38" i="25"/>
  <c r="AY55" i="25" s="1"/>
  <c r="AY56" i="25" s="1"/>
  <c r="AZ20" i="25" s="1"/>
  <c r="AZ18" i="25" l="1"/>
  <c r="AZ59" i="25"/>
  <c r="AZ27" i="25" l="1"/>
  <c r="AZ48" i="25" l="1"/>
  <c r="AZ49" i="25"/>
  <c r="AZ50" i="25" s="1"/>
  <c r="AZ51" i="25" s="1"/>
  <c r="AZ52" i="25" s="1"/>
  <c r="AZ32" i="25"/>
  <c r="BA15" i="25" l="1"/>
  <c r="AZ36" i="25"/>
  <c r="AZ42" i="25"/>
  <c r="AZ37" i="25"/>
  <c r="AZ33" i="25"/>
  <c r="AZ41" i="25"/>
  <c r="AZ43" i="25" l="1"/>
  <c r="AZ38" i="25"/>
  <c r="AZ55" i="25" s="1"/>
  <c r="AZ56" i="25" s="1"/>
  <c r="BA20" i="25" s="1"/>
  <c r="BA18" i="25" l="1"/>
  <c r="BA59" i="25"/>
  <c r="BA27" i="25" l="1"/>
  <c r="BA49" i="25" l="1"/>
  <c r="BA48" i="25"/>
  <c r="BA32" i="25"/>
  <c r="BB15" i="25" l="1"/>
  <c r="BA41" i="25"/>
  <c r="BA36" i="25"/>
  <c r="BA42" i="25"/>
  <c r="BA37" i="25"/>
  <c r="BA50" i="25"/>
  <c r="BA51" i="25" s="1"/>
  <c r="BA52" i="25" s="1"/>
  <c r="BA33" i="25" s="1"/>
  <c r="BA43" i="25" l="1"/>
  <c r="BA38" i="25"/>
  <c r="BA55" i="25" s="1"/>
  <c r="BA56" i="25" s="1"/>
  <c r="BB20" i="25" s="1"/>
  <c r="BB27" i="25" l="1"/>
  <c r="BB59" i="25"/>
  <c r="BB18" i="25"/>
  <c r="BB32" i="25" l="1"/>
  <c r="BB48" i="25"/>
  <c r="BB49" i="25"/>
  <c r="BB50" i="25" l="1"/>
  <c r="BB51" i="25" s="1"/>
  <c r="BB52" i="25" s="1"/>
  <c r="BC15" i="25"/>
  <c r="BB33" i="25"/>
  <c r="BB41" i="25"/>
  <c r="BB36" i="25"/>
  <c r="BB42" i="25"/>
  <c r="BB37" i="25"/>
  <c r="BB38" i="25" l="1"/>
  <c r="BB55" i="25" s="1"/>
  <c r="BB56" i="25" s="1"/>
  <c r="BC20" i="25" s="1"/>
  <c r="BB43" i="25"/>
  <c r="BC18" i="25" l="1"/>
  <c r="BC59" i="25"/>
  <c r="BC27" i="25" l="1"/>
  <c r="BC49" i="25" l="1"/>
  <c r="BC48" i="25"/>
  <c r="BC32" i="25"/>
  <c r="BC37" i="25" l="1"/>
  <c r="BC41" i="25"/>
  <c r="BD15" i="25"/>
  <c r="BC42" i="25"/>
  <c r="BC36" i="25"/>
  <c r="BC50" i="25"/>
  <c r="BC51" i="25" s="1"/>
  <c r="BC52" i="25" s="1"/>
  <c r="BC33" i="25" s="1"/>
  <c r="BC43" i="25" l="1"/>
  <c r="BC38" i="25"/>
  <c r="BC55" i="25" s="1"/>
  <c r="BC56" i="25" s="1"/>
  <c r="BD20" i="25" s="1"/>
  <c r="BD27" i="25" l="1"/>
  <c r="BD18" i="25"/>
  <c r="BD59" i="25"/>
  <c r="BD48" i="25" l="1"/>
  <c r="BD49" i="25"/>
  <c r="BD32" i="25"/>
  <c r="BD36" i="25" l="1"/>
  <c r="BD42" i="25"/>
  <c r="BD37" i="25"/>
  <c r="BD41" i="25"/>
  <c r="BD50" i="25"/>
  <c r="BD51" i="25" s="1"/>
  <c r="BD52" i="25" s="1"/>
  <c r="BD33" i="25" s="1"/>
  <c r="BD43" i="25" l="1"/>
  <c r="BD38" i="25"/>
  <c r="BD55" i="25" s="1"/>
  <c r="BD56" i="25" s="1"/>
</calcChain>
</file>

<file path=xl/comments1.xml><?xml version="1.0" encoding="utf-8"?>
<comments xmlns="http://schemas.openxmlformats.org/spreadsheetml/2006/main">
  <authors>
    <author>Fong, Pauline (MOF)</author>
    <author>Fong, Pauline (FIN)</author>
  </authors>
  <commentList>
    <comment ref="AB20" authorId="0" shapeId="0">
      <text>
        <r>
          <rPr>
            <b/>
            <sz val="9"/>
            <color indexed="81"/>
            <rFont val="Tahoma"/>
            <family val="2"/>
          </rPr>
          <t>Fong, Pauline (MOF):</t>
        </r>
        <r>
          <rPr>
            <sz val="9"/>
            <color indexed="81"/>
            <rFont val="Tahoma"/>
            <family val="2"/>
          </rPr>
          <t xml:space="preserve">
Change in mortality Basis 1:             1,054
Change in com. Value Basis 1:            116
Change in disc. Rate Basis 1 to 4:     4,131
Change in infl./salary Basis 1 to 4:   </t>
        </r>
        <r>
          <rPr>
            <u/>
            <sz val="9"/>
            <color indexed="81"/>
            <rFont val="Tahoma"/>
            <family val="2"/>
          </rPr>
          <t xml:space="preserve"> (5,666)</t>
        </r>
        <r>
          <rPr>
            <sz val="9"/>
            <color indexed="81"/>
            <rFont val="Tahoma"/>
            <family val="2"/>
          </rPr>
          <t xml:space="preserve">
Total change in assumption                365</t>
        </r>
      </text>
    </comment>
    <comment ref="Z26" authorId="1" shapeId="0">
      <text>
        <r>
          <rPr>
            <b/>
            <sz val="9"/>
            <color indexed="81"/>
            <rFont val="Tahoma"/>
            <family val="2"/>
          </rPr>
          <t>Fong, Pauline (FIN):</t>
        </r>
        <r>
          <rPr>
            <sz val="9"/>
            <color indexed="81"/>
            <rFont val="Tahoma"/>
            <family val="2"/>
          </rPr>
          <t xml:space="preserve">
February 1st letter amount was $129,622.  The audited OTTP financials = $ 129,524.  Net assets available for benefits have been updated for new numbers for Public Accounts &amp; Smoothing updated accordingly.</t>
        </r>
      </text>
    </comment>
    <comment ref="AA26" authorId="0" shapeId="0">
      <text>
        <r>
          <rPr>
            <b/>
            <sz val="9"/>
            <color indexed="81"/>
            <rFont val="Tahoma"/>
            <family val="2"/>
          </rPr>
          <t>Fong, Pauline (MOF):</t>
        </r>
        <r>
          <rPr>
            <sz val="9"/>
            <color indexed="81"/>
            <rFont val="Tahoma"/>
            <family val="2"/>
          </rPr>
          <t xml:space="preserve">
Actuary Letter 140,777; final audited financial statements from OTPP is 140,764.  Numbers have been updated for final audited financial statements for OTPP as of December 31, 2013</t>
        </r>
      </text>
    </comment>
    <comment ref="AB26" authorId="0" shapeId="0">
      <text>
        <r>
          <rPr>
            <b/>
            <sz val="9"/>
            <color indexed="81"/>
            <rFont val="Tahoma"/>
            <family val="2"/>
          </rPr>
          <t>Fong, Pauline (MOF):</t>
        </r>
        <r>
          <rPr>
            <sz val="9"/>
            <color indexed="81"/>
            <rFont val="Tahoma"/>
            <family val="2"/>
          </rPr>
          <t xml:space="preserve">
Actuary Letter 154,485; final audited financial statements from OTPP is 154,476.  Numbers have been updated for final audited financial statements for OTPP as of December 31, 2014</t>
        </r>
      </text>
    </comment>
    <comment ref="AC26" authorId="0" shapeId="0">
      <text>
        <r>
          <rPr>
            <b/>
            <sz val="9"/>
            <color indexed="81"/>
            <rFont val="Tahoma"/>
            <family val="2"/>
          </rPr>
          <t>Fong, Pauline (MOF):</t>
        </r>
        <r>
          <rPr>
            <sz val="9"/>
            <color indexed="81"/>
            <rFont val="Tahoma"/>
            <family val="2"/>
          </rPr>
          <t xml:space="preserve">
Actuary Letter 171,420; final audited financial statements from OTPP is 171,440.  Numbers have been updated for final audited financial statements for OTPP as of December 31, 2015</t>
        </r>
      </text>
    </comment>
  </commentList>
</comments>
</file>

<file path=xl/comments2.xml><?xml version="1.0" encoding="utf-8"?>
<comments xmlns="http://schemas.openxmlformats.org/spreadsheetml/2006/main">
  <authors>
    <author>Fong, Pauline (MOF)</author>
    <author>Pauline Fong</author>
  </authors>
  <commentList>
    <comment ref="T15" authorId="0" shapeId="0">
      <text>
        <r>
          <rPr>
            <b/>
            <sz val="9"/>
            <color indexed="81"/>
            <rFont val="Tahoma"/>
            <family val="2"/>
          </rPr>
          <t>Fong, Pauline (MOF):</t>
        </r>
        <r>
          <rPr>
            <sz val="9"/>
            <color indexed="81"/>
            <rFont val="Tahoma"/>
            <family val="2"/>
          </rPr>
          <t xml:space="preserve">
See below:
Use $10M for PA and RbP.  Included as art of experience gains/losses.</t>
        </r>
      </text>
    </comment>
    <comment ref="Q18" authorId="1" shapeId="0">
      <text>
        <r>
          <rPr>
            <b/>
            <sz val="8"/>
            <color indexed="81"/>
            <rFont val="Tahoma"/>
            <family val="2"/>
          </rPr>
          <t>Pauline Fong:</t>
        </r>
        <r>
          <rPr>
            <sz val="8"/>
            <color indexed="81"/>
            <rFont val="Tahoma"/>
            <family val="2"/>
          </rPr>
          <t xml:space="preserve">
Needed to be booked into OG to agree liability per OG to continuity.</t>
        </r>
      </text>
    </comment>
  </commentList>
</comments>
</file>

<file path=xl/comments3.xml><?xml version="1.0" encoding="utf-8"?>
<comments xmlns="http://schemas.openxmlformats.org/spreadsheetml/2006/main">
  <authors>
    <author>Fong, Pauline (MOF)</author>
  </authors>
  <commentList>
    <comment ref="Z40" authorId="0" shapeId="0">
      <text>
        <r>
          <rPr>
            <b/>
            <sz val="9"/>
            <color indexed="81"/>
            <rFont val="Tahoma"/>
            <family val="2"/>
          </rPr>
          <t>Fong, Pauline (MOF):</t>
        </r>
        <r>
          <rPr>
            <sz val="9"/>
            <color indexed="81"/>
            <rFont val="Tahoma"/>
            <family val="2"/>
          </rPr>
          <t xml:space="preserve">
Use $885 for Budget and PA.  Include $6M as part of experience gains.
</t>
        </r>
      </text>
    </comment>
  </commentList>
</comments>
</file>

<file path=xl/comments4.xml><?xml version="1.0" encoding="utf-8"?>
<comments xmlns="http://schemas.openxmlformats.org/spreadsheetml/2006/main">
  <authors>
    <author>Fong, Pauline (MOF)</author>
  </authors>
  <commentList>
    <comment ref="D55" authorId="0" shapeId="0">
      <text>
        <r>
          <rPr>
            <b/>
            <sz val="9"/>
            <color indexed="81"/>
            <rFont val="Tahoma"/>
            <family val="2"/>
          </rPr>
          <t>Fong, Pauline (MOF):</t>
        </r>
        <r>
          <rPr>
            <sz val="9"/>
            <color indexed="81"/>
            <rFont val="Tahoma"/>
            <family val="2"/>
          </rPr>
          <t xml:space="preserve">
$3M difference between RCA liability on calculation versus IFIS run through as a credit to RCA expense this year
</t>
        </r>
      </text>
    </comment>
  </commentList>
</comments>
</file>

<file path=xl/comments5.xml><?xml version="1.0" encoding="utf-8"?>
<comments xmlns="http://schemas.openxmlformats.org/spreadsheetml/2006/main">
  <authors>
    <author>Pauline Fong</author>
  </authors>
  <commentList>
    <comment ref="O25" authorId="0" shapeId="0">
      <text>
        <r>
          <rPr>
            <b/>
            <sz val="8"/>
            <color indexed="81"/>
            <rFont val="Tahoma"/>
            <family val="2"/>
          </rPr>
          <t>Pauline Fong:</t>
        </r>
        <r>
          <rPr>
            <sz val="8"/>
            <color indexed="81"/>
            <rFont val="Tahoma"/>
            <family val="2"/>
          </rPr>
          <t xml:space="preserve">
Per OTPP December 31, 2010 financial statements</t>
        </r>
      </text>
    </comment>
  </commentList>
</comments>
</file>

<file path=xl/comments6.xml><?xml version="1.0" encoding="utf-8"?>
<comments xmlns="http://schemas.openxmlformats.org/spreadsheetml/2006/main">
  <authors>
    <author>Fong, Pauline (MOF)</author>
  </authors>
  <commentList>
    <comment ref="K6" authorId="0" shapeId="0">
      <text>
        <r>
          <rPr>
            <b/>
            <sz val="9"/>
            <color indexed="81"/>
            <rFont val="Tahoma"/>
            <family val="2"/>
          </rPr>
          <t>Fong, Pauline (MOF):</t>
        </r>
        <r>
          <rPr>
            <sz val="9"/>
            <color indexed="81"/>
            <rFont val="Tahoma"/>
            <family val="2"/>
          </rPr>
          <t xml:space="preserve">
Actuary Letter 154,485; final audited financial statements from OTPP is 154,476.  Numbers have been updated for final audited financial statements for OTPP as of December 31, 2014</t>
        </r>
      </text>
    </comment>
    <comment ref="K19" authorId="0" shapeId="0">
      <text>
        <r>
          <rPr>
            <b/>
            <sz val="9"/>
            <color indexed="81"/>
            <rFont val="Tahoma"/>
            <family val="2"/>
          </rPr>
          <t>Fong, Pauline (MOF):</t>
        </r>
        <r>
          <rPr>
            <sz val="9"/>
            <color indexed="81"/>
            <rFont val="Tahoma"/>
            <family val="2"/>
          </rPr>
          <t xml:space="preserve">
Actuary Letter 171,420; final audited financial statements from OTPP is 171,440.  Numbers have been updated for final audited financial statements for OTPP as of December 31, 2015</t>
        </r>
      </text>
    </comment>
  </commentList>
</comments>
</file>

<file path=xl/sharedStrings.xml><?xml version="1.0" encoding="utf-8"?>
<sst xmlns="http://schemas.openxmlformats.org/spreadsheetml/2006/main" count="1597" uniqueCount="566">
  <si>
    <t>Best Estimate Economic Assumptions</t>
  </si>
  <si>
    <t>Calendar Year</t>
  </si>
  <si>
    <t xml:space="preserve">  salary escalation</t>
  </si>
  <si>
    <t xml:space="preserve">  inflation</t>
  </si>
  <si>
    <t>Obligation for Pension Benefits</t>
  </si>
  <si>
    <t xml:space="preserve">  interest accrued on benefits</t>
  </si>
  <si>
    <t xml:space="preserve">  experience loss (gain)</t>
  </si>
  <si>
    <t xml:space="preserve">  increase (decrease) due to change in assumptions</t>
  </si>
  <si>
    <t xml:space="preserve">    check (ending - opening - change)</t>
  </si>
  <si>
    <t xml:space="preserve">  benefit payments (including transfers)</t>
  </si>
  <si>
    <t xml:space="preserve">    Net increase (decrease)</t>
  </si>
  <si>
    <t xml:space="preserve">  accrued benefit obligation, closing</t>
  </si>
  <si>
    <t>n/a</t>
  </si>
  <si>
    <t>Pension Fund Assets</t>
  </si>
  <si>
    <t xml:space="preserve">  net assets available for benefits, closing</t>
  </si>
  <si>
    <t xml:space="preserve">  interest on accounts receivable from Ontario </t>
  </si>
  <si>
    <t xml:space="preserve">  employee contributions</t>
  </si>
  <si>
    <t xml:space="preserve">  other employers' contributions</t>
  </si>
  <si>
    <t xml:space="preserve">  transfers from other plans</t>
  </si>
  <si>
    <t xml:space="preserve">  ontario matching contributions</t>
  </si>
  <si>
    <t xml:space="preserve">  ontario special payments</t>
  </si>
  <si>
    <t xml:space="preserve">    Total contributions</t>
  </si>
  <si>
    <t xml:space="preserve">    Pension fund assets, closing</t>
  </si>
  <si>
    <t>Contributions - calendar year</t>
  </si>
  <si>
    <t>Contributions - ontario's fiscal year</t>
  </si>
  <si>
    <t>Expected average remaining service life of employees</t>
  </si>
  <si>
    <t>Source</t>
  </si>
  <si>
    <t>letter to pension board</t>
  </si>
  <si>
    <t>actuary</t>
  </si>
  <si>
    <t>pension board/actuary</t>
  </si>
  <si>
    <t>actuary or plug</t>
  </si>
  <si>
    <t>formula</t>
  </si>
  <si>
    <t>pension board</t>
  </si>
  <si>
    <t>Public Accounts vol. 1</t>
  </si>
  <si>
    <t>1991-92</t>
  </si>
  <si>
    <t>1992-93</t>
  </si>
  <si>
    <t>1993-94</t>
  </si>
  <si>
    <t>1994-95</t>
  </si>
  <si>
    <t>1995-96</t>
  </si>
  <si>
    <t>1996-97</t>
  </si>
  <si>
    <t>1997-98</t>
  </si>
  <si>
    <t>1998-99</t>
  </si>
  <si>
    <t>1999-00</t>
  </si>
  <si>
    <t>2000-01</t>
  </si>
  <si>
    <t>2001-02</t>
  </si>
  <si>
    <t>2002-03</t>
  </si>
  <si>
    <t>Ontario Teachers' Pension Plan - Data Input</t>
  </si>
  <si>
    <t>Step 1: Interest on average accrued benefit obligation</t>
  </si>
  <si>
    <t xml:space="preserve">  accrued benefit obligation, opening</t>
  </si>
  <si>
    <t>data input</t>
  </si>
  <si>
    <t xml:space="preserve">  current period benefit cost (earned by employees)</t>
  </si>
  <si>
    <t xml:space="preserve">  add: average current period benefit cost</t>
  </si>
  <si>
    <t xml:space="preserve">  add: average increase due to plan amendments</t>
  </si>
  <si>
    <t xml:space="preserve">  less: average benefit payments (including transfers)</t>
  </si>
  <si>
    <t xml:space="preserve">    Average accrued benefit obligation</t>
  </si>
  <si>
    <t xml:space="preserve">  interest assumption</t>
  </si>
  <si>
    <t xml:space="preserve">    Interest expenditure on accrued benefit obligation</t>
  </si>
  <si>
    <t>data input + formula</t>
  </si>
  <si>
    <t>Step 2: Earnings on average pension fund assets</t>
  </si>
  <si>
    <t xml:space="preserve">  add: average contributions</t>
  </si>
  <si>
    <t xml:space="preserve">    Average pension fund assets</t>
  </si>
  <si>
    <t xml:space="preserve">    Interest revenue on pension fund assets</t>
  </si>
  <si>
    <t>Step 1 - Interest on accrued benefit obligation</t>
  </si>
  <si>
    <t>Less: Step 2 - Interest on pension fund assets</t>
  </si>
  <si>
    <t xml:space="preserve">  one-time audit adjustment</t>
  </si>
  <si>
    <t xml:space="preserve">  Pension Interest Expenditure (Revenue)</t>
  </si>
  <si>
    <t>above</t>
  </si>
  <si>
    <t xml:space="preserve">Ontario Teachers' Pension Plan - PSAB Calculations </t>
  </si>
  <si>
    <t>Pension Expenditure - Pension Interest Expenditure (Revenue)</t>
  </si>
  <si>
    <t>Step 1: Experience gain (loss) on accrued benefit obligation</t>
  </si>
  <si>
    <t xml:space="preserve">  add: current period benefit cost</t>
  </si>
  <si>
    <t xml:space="preserve">  add: increase due to plan amendments</t>
  </si>
  <si>
    <t xml:space="preserve">  add: interest expenditure on accrued benefit obligation</t>
  </si>
  <si>
    <t>"interest" sheet</t>
  </si>
  <si>
    <t xml:space="preserve">  less: benefit payments (including transfers)</t>
  </si>
  <si>
    <t xml:space="preserve">  Actual closing accrued benefit obligation</t>
  </si>
  <si>
    <t xml:space="preserve">    Experience gain (loss) on accrued benefit obligation</t>
  </si>
  <si>
    <t>Step 2: Experience gain (loss) on pension fund assets</t>
  </si>
  <si>
    <t xml:space="preserve">  add: contributions</t>
  </si>
  <si>
    <t xml:space="preserve">  add: interest revenue on pension fund asset</t>
  </si>
  <si>
    <t xml:space="preserve">  one-time audit adjustments</t>
  </si>
  <si>
    <t xml:space="preserve">    Expected closing pension fund assets</t>
  </si>
  <si>
    <t xml:space="preserve">  Actual closing pension fund assets</t>
  </si>
  <si>
    <t xml:space="preserve">    Experience gain (loss) on pension fund assets</t>
  </si>
  <si>
    <t xml:space="preserve">  adjustment for interest on accounts receivable from ontario</t>
  </si>
  <si>
    <t>Step 1 - Experience gain (loss) on accrued benefit obligation</t>
  </si>
  <si>
    <t>Step 2 - Experience gain (loss) on pension fund assets</t>
  </si>
  <si>
    <t xml:space="preserve">    Experience gain (loss)</t>
  </si>
  <si>
    <t xml:space="preserve">  </t>
  </si>
  <si>
    <t xml:space="preserve">  expected average remaining service life of employees (EARSL)</t>
  </si>
  <si>
    <t xml:space="preserve">    Annual amortization of experience gain (loss)</t>
  </si>
  <si>
    <t xml:space="preserve">  annual amortization related to 1991 experience gain (loss)</t>
  </si>
  <si>
    <t xml:space="preserve">  annual amortization related to 1992 experience gain (loss)</t>
  </si>
  <si>
    <t xml:space="preserve">  annual amortization related to 1993 experience gain (loss)</t>
  </si>
  <si>
    <t xml:space="preserve">  annual amortization related to 1994 experience gain (loss)</t>
  </si>
  <si>
    <t xml:space="preserve">  annual amortization related to 1995 experience gain (loss)</t>
  </si>
  <si>
    <t xml:space="preserve">  annual amortization related to 1996 experience gain (loss)</t>
  </si>
  <si>
    <t xml:space="preserve">  annual amortization related to 1997 experience gain (loss)</t>
  </si>
  <si>
    <t xml:space="preserve">  annual amortization related to 1998 experience gain (loss)</t>
  </si>
  <si>
    <t xml:space="preserve">  annual amortization related to 1999 experience gain (loss)</t>
  </si>
  <si>
    <t xml:space="preserve">  annual amortization related to 2000 experience gain (loss)</t>
  </si>
  <si>
    <t xml:space="preserve">  annual amortization related to 2001 experience gain (loss)</t>
  </si>
  <si>
    <t xml:space="preserve">  annual amortization related to 2002 experience gain (loss)</t>
  </si>
  <si>
    <t xml:space="preserve">Step 3: Experience gain (loss) </t>
  </si>
  <si>
    <t xml:space="preserve">    Amortization of experience gain (loss)</t>
  </si>
  <si>
    <t>Pension Expenditure - Amortization of Experience Gain (Loss)</t>
  </si>
  <si>
    <t>unamortized</t>
  </si>
  <si>
    <t>beg of 1996</t>
  </si>
  <si>
    <t>"experience g(l)" sheet</t>
  </si>
  <si>
    <t>in 1996</t>
  </si>
  <si>
    <t xml:space="preserve">    Recogntion of unamortized experience gain in 1996</t>
  </si>
  <si>
    <t xml:space="preserve">    Revised annual amortization schedule after 1996 plan amendments</t>
  </si>
  <si>
    <t xml:space="preserve">  recognition of 1991 unamortized experience gain in 1996</t>
  </si>
  <si>
    <t>Annual amortization schedule before offset of cost of plan amendments</t>
  </si>
  <si>
    <t>Recognition of unamortized experience gain in 1996</t>
  </si>
  <si>
    <t>Revised annual amortization schedule after 1996 plan amendments</t>
  </si>
  <si>
    <t>beg of 1997</t>
  </si>
  <si>
    <t>in 1997</t>
  </si>
  <si>
    <t>Recognition of unamortized experience gain in 1997</t>
  </si>
  <si>
    <t xml:space="preserve">    Recognition of unamoritzed experience gain in 1997</t>
  </si>
  <si>
    <t xml:space="preserve">  recognition of 1991 unamortized experience gain in 1997</t>
  </si>
  <si>
    <t xml:space="preserve">  recognition of 1993 unamortized experience gain in 1997</t>
  </si>
  <si>
    <t>"amendment" sheet</t>
  </si>
  <si>
    <t>Revised annual amortization schedule after 1997 plan amendments</t>
  </si>
  <si>
    <t xml:space="preserve">    Revised annual amortization schedule after 1997 plan amendments</t>
  </si>
  <si>
    <t>beg of 2001</t>
  </si>
  <si>
    <t>in 2001</t>
  </si>
  <si>
    <t>Recognition of unamortized experience gain in 2001</t>
  </si>
  <si>
    <t xml:space="preserve">    Recognition of unamoritzed experience gain in 2001</t>
  </si>
  <si>
    <t>Revised annual amortization schedule after 2001 plan amendments</t>
  </si>
  <si>
    <t xml:space="preserve">    Revised annual amortization schedule after 2001 plan amendments</t>
  </si>
  <si>
    <t>proration/manual</t>
  </si>
  <si>
    <t xml:space="preserve">  recognition of 1993 unamortized experience gain in 2001</t>
  </si>
  <si>
    <t xml:space="preserve">  recognition of 1995 unamortized experience gain in 2001</t>
  </si>
  <si>
    <t xml:space="preserve">  recognition of 1996 unamortized experience gain in 2001</t>
  </si>
  <si>
    <t xml:space="preserve">  recognition of 1997 unamortized experience gain in 2001</t>
  </si>
  <si>
    <t xml:space="preserve">    Total amortization of experience gain (loss) of the year</t>
  </si>
  <si>
    <t>Step 4: Accumulated experience gain (loss)</t>
  </si>
  <si>
    <t>Step 5: Annual amortization schedule before offset of cost of plan amendments</t>
  </si>
  <si>
    <t>Step 6: Recognition of unamortized experience gain to offset cost of plan amendment</t>
  </si>
  <si>
    <t>Step 7: Impact of Step 6 on annual amortization schedule</t>
  </si>
  <si>
    <t xml:space="preserve">    Total impact of Step 6 on annual amortization schedule</t>
  </si>
  <si>
    <t>Step 8: Total amortization of experience gain (loss)</t>
  </si>
  <si>
    <t xml:space="preserve">  Step 5: amortization before offset to cost of plan amendments</t>
  </si>
  <si>
    <t xml:space="preserve">  Step 7: impact of plan amendment on amortization </t>
  </si>
  <si>
    <t>Step 9: Pension liability - Unamortized experience gain (loss)</t>
  </si>
  <si>
    <t>Pension Liability - Unamortized Experience Gain (Loss)</t>
  </si>
  <si>
    <t xml:space="preserve">  Step 4: accumulated experience gain (loss)</t>
  </si>
  <si>
    <t xml:space="preserve">    Unamortized experience gain - closing balance</t>
  </si>
  <si>
    <t xml:space="preserve">  Less: cumulative amortization before offset to cost of plan amendments</t>
  </si>
  <si>
    <t xml:space="preserve">  Less: cumulative recognition of unamortized for plan amendments</t>
  </si>
  <si>
    <t xml:space="preserve">  Less: cumulative impact of plan amendment on amortization</t>
  </si>
  <si>
    <t>Pension Expenditure - Amortization of Initial Unfunded Liability</t>
  </si>
  <si>
    <t>Pension Liability - Unamortized Initial Unfunded Liability</t>
  </si>
  <si>
    <t>Pension Expenditure - Amortization of Difference Between Employer and Employee Contributions</t>
  </si>
  <si>
    <t>Pension Liability - Unamortized Difference Between Employer and Employee Contributions</t>
  </si>
  <si>
    <t>Fiscal Year</t>
  </si>
  <si>
    <t>Input data</t>
  </si>
  <si>
    <t xml:space="preserve">  amortization of 1993-94 difference</t>
  </si>
  <si>
    <t xml:space="preserve">  amortization of 1994-95 difference</t>
  </si>
  <si>
    <t xml:space="preserve">  amortization of 1995-96 difference</t>
  </si>
  <si>
    <t xml:space="preserve">  amortization of 1996-97 difference</t>
  </si>
  <si>
    <t xml:space="preserve">  amortization of 1997-98 difference</t>
  </si>
  <si>
    <t xml:space="preserve">  amortization of 1998-99 difference</t>
  </si>
  <si>
    <t xml:space="preserve">  amortization of 1999-00 difference</t>
  </si>
  <si>
    <t xml:space="preserve">  amortization of 2000-01 difference</t>
  </si>
  <si>
    <t xml:space="preserve">  amortization of 2001-02 difference</t>
  </si>
  <si>
    <t xml:space="preserve">    Total annual amortization of difference in contributions</t>
  </si>
  <si>
    <t>2003-04</t>
  </si>
  <si>
    <t>2004-05</t>
  </si>
  <si>
    <t>2005-06</t>
  </si>
  <si>
    <t>2006-07</t>
  </si>
  <si>
    <t>2007-08</t>
  </si>
  <si>
    <t>2008-09</t>
  </si>
  <si>
    <t>2009-10</t>
  </si>
  <si>
    <t>2010-11</t>
  </si>
  <si>
    <t>2011-12</t>
  </si>
  <si>
    <t>2012-13</t>
  </si>
  <si>
    <t>2013-14</t>
  </si>
  <si>
    <t>Step 1: Ontario's over (under) contribution - fiscal year</t>
  </si>
  <si>
    <t xml:space="preserve">  Less: employee contributions - calendar year</t>
  </si>
  <si>
    <t xml:space="preserve">  Less: other employers' contributions - calendar year</t>
  </si>
  <si>
    <t xml:space="preserve">    Ontario over (under) contribution</t>
  </si>
  <si>
    <t xml:space="preserve">  50% of Ontario's over (under) contribution</t>
  </si>
  <si>
    <t xml:space="preserve">    Annual amortization of difference in contributions</t>
  </si>
  <si>
    <t>Step 2: Amortization of difference in contributions</t>
  </si>
  <si>
    <t>Step 3: Annual amortization of difference in contributions</t>
  </si>
  <si>
    <t>Step 2</t>
  </si>
  <si>
    <t>Step 4: Unamortized difference in contributions</t>
  </si>
  <si>
    <t xml:space="preserve">  cumulative 50% over (under) contributions</t>
  </si>
  <si>
    <t xml:space="preserve">  less: cumulative amortization</t>
  </si>
  <si>
    <t xml:space="preserve">    Unamortized difference in contributions closing balance</t>
  </si>
  <si>
    <t>Province</t>
  </si>
  <si>
    <t>1990-91</t>
  </si>
  <si>
    <t>100% Pension Liability</t>
  </si>
  <si>
    <t>Pension Liability</t>
  </si>
  <si>
    <t>Unamortized experience gains</t>
  </si>
  <si>
    <t>Accrued benefit obligation, closing balance</t>
  </si>
  <si>
    <t>Less: pension fund assets, closing balance</t>
  </si>
  <si>
    <t>Adjustment for OTPP receivable from Proivnce</t>
  </si>
  <si>
    <t xml:space="preserve">  Pension liability at December 31</t>
  </si>
  <si>
    <t>Data input</t>
  </si>
  <si>
    <t xml:space="preserve">  Pension liability (surplus)</t>
  </si>
  <si>
    <t>Adjustment for different year ends</t>
  </si>
  <si>
    <t>"year end" sheet</t>
  </si>
  <si>
    <t xml:space="preserve">  Pension liability at March 31</t>
  </si>
  <si>
    <t>Reclassification</t>
  </si>
  <si>
    <t xml:space="preserve">  increase due to plan amendments expensed</t>
  </si>
  <si>
    <t xml:space="preserve">  increase due to plan amendments amortized</t>
  </si>
  <si>
    <t>Step 3 - Interest on accounts receivable from ont.</t>
  </si>
  <si>
    <t>Pension Liability - Adjustment for Dfferent Year Ends Between Pension Plan and Province</t>
  </si>
  <si>
    <t>Pension expenditure</t>
  </si>
  <si>
    <t>Opening pension liability</t>
  </si>
  <si>
    <t>Ending pension liability</t>
  </si>
  <si>
    <t>Input data (vol. 1)</t>
  </si>
  <si>
    <t>Audit adjustment</t>
  </si>
  <si>
    <t>Difference - adjustment required</t>
  </si>
  <si>
    <t xml:space="preserve">  checking</t>
  </si>
  <si>
    <t>Current period benefit cost</t>
  </si>
  <si>
    <t>Amortization of experience gains</t>
  </si>
  <si>
    <t xml:space="preserve">  Pension expenditure</t>
  </si>
  <si>
    <t>Pension interest expenditure</t>
  </si>
  <si>
    <t>Cost of plan amendment</t>
  </si>
  <si>
    <t>Recognition of unamortized experience gains</t>
  </si>
  <si>
    <t>"Interest" sheet</t>
  </si>
  <si>
    <t>Less: employee &amp; other employers' contributions</t>
  </si>
  <si>
    <t>"liability" sheet</t>
  </si>
  <si>
    <t>"expense" sheet</t>
  </si>
  <si>
    <t xml:space="preserve">Less: employer contribution </t>
  </si>
  <si>
    <t>vs. "liability" sheet</t>
  </si>
  <si>
    <t>Less: transfers from other plans</t>
  </si>
  <si>
    <t xml:space="preserve">  50% of closing pension liability</t>
  </si>
  <si>
    <t>Closing pension liability</t>
  </si>
  <si>
    <t>EARSL</t>
  </si>
  <si>
    <t>Annual amortization</t>
  </si>
  <si>
    <t>Unamortized balance</t>
  </si>
  <si>
    <t>50% Pension Liability Reflecing Accounting Policy for Joint Plans</t>
  </si>
  <si>
    <t>Amortization of difference in contributions</t>
  </si>
  <si>
    <t>formula - 50% of below</t>
  </si>
  <si>
    <t>"initial ufl" sheet</t>
  </si>
  <si>
    <t>"contributions" sheet</t>
  </si>
  <si>
    <t xml:space="preserve">formula </t>
  </si>
  <si>
    <t>100% Pension Expenditure</t>
  </si>
  <si>
    <t xml:space="preserve">  100% Pension expenditure</t>
  </si>
  <si>
    <t>Pension Expenditure</t>
  </si>
  <si>
    <t>50% Pension Expenditure Reflecing Accounting Policy for Joint Plans</t>
  </si>
  <si>
    <t>Less: amortization of initial unfunded liability</t>
  </si>
  <si>
    <t>Less: recognition of unamortized experience gains</t>
  </si>
  <si>
    <t>Unamortized initial unfunded liability</t>
  </si>
  <si>
    <t>Unamortized difference in contributions</t>
  </si>
  <si>
    <t xml:space="preserve">Plan Amendment - supporting calculation for Pension Expenditure - Amortization of Experience Gain (Loss) </t>
  </si>
  <si>
    <t>Less: Employer contribution - fiscal year</t>
  </si>
  <si>
    <t>Opening pension liability - March 31</t>
  </si>
  <si>
    <t>Closing pension liability - March 31</t>
  </si>
  <si>
    <t>Data Input</t>
  </si>
  <si>
    <t>Continuity</t>
  </si>
  <si>
    <t>Ontario Teachers' Retirement Compensation Arrangement - Data Input</t>
  </si>
  <si>
    <t>OTRCA statements</t>
  </si>
  <si>
    <t>Ontario Teachers' Retirement Compensation Arrangement - PSAB Calculations</t>
  </si>
  <si>
    <t>RCA data</t>
  </si>
  <si>
    <t>RCA data + formula</t>
  </si>
  <si>
    <t>Interest on average accrued benefit obligation</t>
  </si>
  <si>
    <t>"RCA interest" sheet</t>
  </si>
  <si>
    <t>Step 2: Accumulated experience gain (loss)</t>
  </si>
  <si>
    <t>Step 3: Annual amortization schedule before offset of cost of plan amendments</t>
  </si>
  <si>
    <t>"RCA exp g(l)" sheet</t>
  </si>
  <si>
    <t xml:space="preserve">    Recogntion of unamortized experience gain in 2001</t>
  </si>
  <si>
    <t>"RCA amend" sheet</t>
  </si>
  <si>
    <t>Step 4: Recognition of unamortized experience gain to offset cost of plan amendment</t>
  </si>
  <si>
    <t>Step 5: Impact of Step 4 on annual amortization schedule</t>
  </si>
  <si>
    <t xml:space="preserve">    Total impact of Step 4 on annual amortization schedule</t>
  </si>
  <si>
    <t>Step 6: Total amortization of experience gain (loss)</t>
  </si>
  <si>
    <t xml:space="preserve">  Step 3: amortization before offset to cost of plan amendments</t>
  </si>
  <si>
    <t xml:space="preserve">  Step 5: impact of plan amendment on amortization </t>
  </si>
  <si>
    <t>Step 7: Pension liability - Unamortized experience gain (loss)</t>
  </si>
  <si>
    <t xml:space="preserve">  Step 2: accumulated experience gain (loss)</t>
  </si>
  <si>
    <t>"RCA Interest" sheet</t>
  </si>
  <si>
    <t>"RCA exp" sheet</t>
  </si>
  <si>
    <t xml:space="preserve">Ontario Teachers' Pension Plan and Retirement Compensation Arrangement </t>
  </si>
  <si>
    <t>Total Pension Liability and Expenditure Reflecting Accounting Policy for Joint Plans</t>
  </si>
  <si>
    <t>Pension Liability Reflecing Accounting Policy for Joint Plans</t>
  </si>
  <si>
    <t>"liability" + "RCA liab"</t>
  </si>
  <si>
    <t>"liability"</t>
  </si>
  <si>
    <t>below</t>
  </si>
  <si>
    <t>RCA pick up closing liability</t>
  </si>
  <si>
    <t>Pension Expenditure Reflecing Accounting Policy for Joint Plans</t>
  </si>
  <si>
    <t>"RCA liab"</t>
  </si>
  <si>
    <t>input data</t>
  </si>
  <si>
    <t>Net Journal Entry in a modified cash environment</t>
  </si>
  <si>
    <t xml:space="preserve">  Less: cash contribution made by Ontario (fiscal year)</t>
  </si>
  <si>
    <t xml:space="preserve">    Net journal entry</t>
  </si>
  <si>
    <t>checking</t>
  </si>
  <si>
    <t xml:space="preserve">  return on investment/benefit discount rate</t>
  </si>
  <si>
    <t xml:space="preserve">  amortization of 2002-03 difference</t>
  </si>
  <si>
    <t>2014-15</t>
  </si>
  <si>
    <t>1999-2000</t>
  </si>
  <si>
    <t xml:space="preserve">  pension fund asset, opening</t>
  </si>
  <si>
    <t xml:space="preserve">    Expected closing accrued benefit obligation</t>
  </si>
  <si>
    <t>Check</t>
  </si>
  <si>
    <t xml:space="preserve"> Unamortized Openning Balance</t>
  </si>
  <si>
    <t xml:space="preserve">  Current Year Amortization</t>
  </si>
  <si>
    <t xml:space="preserve">  Current Year Experience gain (loss)</t>
  </si>
  <si>
    <t xml:space="preserve">  Recognition of Experience Gains on Plan Amendments</t>
  </si>
  <si>
    <t>Unamortized Experience Gain - Closing Balance</t>
  </si>
  <si>
    <t>Pension Expense</t>
  </si>
  <si>
    <t>Pension expense</t>
  </si>
  <si>
    <t xml:space="preserve">  Pension expense</t>
  </si>
  <si>
    <t>Unrounded</t>
  </si>
  <si>
    <t xml:space="preserve">  annual amortization related to 2003 experience gain (loss)</t>
  </si>
  <si>
    <t>2015-16</t>
  </si>
  <si>
    <t xml:space="preserve">  annual amortization related to 2004 experience gain (loss)</t>
  </si>
  <si>
    <t xml:space="preserve">  annual amortization related to 2005 experience gain (loss)</t>
  </si>
  <si>
    <t xml:space="preserve">  annual amortization related to 2006 experience gain (loss)</t>
  </si>
  <si>
    <t xml:space="preserve">  annual amortization related to 2007 experience gain (loss)</t>
  </si>
  <si>
    <t xml:space="preserve">  annual amortization related to 2008 experience gain (loss)</t>
  </si>
  <si>
    <t>2016-17</t>
  </si>
  <si>
    <t>2017-18</t>
  </si>
  <si>
    <t>2018-19</t>
  </si>
  <si>
    <t>2019-20</t>
  </si>
  <si>
    <t>2020-21</t>
  </si>
  <si>
    <t xml:space="preserve">  amortization of 2003-04 difference</t>
  </si>
  <si>
    <t xml:space="preserve">  amortization of 2004-05 difference</t>
  </si>
  <si>
    <t xml:space="preserve">  amortization of 2005-06 difference</t>
  </si>
  <si>
    <t xml:space="preserve">  amortization of 2006-07 difference</t>
  </si>
  <si>
    <t xml:space="preserve">  amortization of 2007-08 difference</t>
  </si>
  <si>
    <t xml:space="preserve">  amortization of 2008-09 difference</t>
  </si>
  <si>
    <t>Schedule of Contributions</t>
  </si>
  <si>
    <t>Less: fiscal year contributions</t>
  </si>
  <si>
    <t>"RCA data" sheet</t>
  </si>
  <si>
    <t xml:space="preserve">  annual amortization related to 2009 experience gain (loss)</t>
  </si>
  <si>
    <t>2021-22</t>
  </si>
  <si>
    <t>2022-23</t>
  </si>
  <si>
    <t xml:space="preserve">  annual amortization related to 2010 experience gain (loss)</t>
  </si>
  <si>
    <t>2023-24</t>
  </si>
  <si>
    <t xml:space="preserve">  amortization of 2009-10 difference</t>
  </si>
  <si>
    <t xml:space="preserve">  amortization of 2010-11 difference</t>
  </si>
  <si>
    <t xml:space="preserve">  annual amortization related to 2011 experience gain (loss)</t>
  </si>
  <si>
    <t>2024-25</t>
  </si>
  <si>
    <t>2025-26</t>
  </si>
  <si>
    <t xml:space="preserve">  amortization of 2011-12 difference</t>
  </si>
  <si>
    <t xml:space="preserve">  add: average transfers from other plans</t>
  </si>
  <si>
    <t xml:space="preserve">  add: transfers from other plans</t>
  </si>
  <si>
    <t>Less: amortization of cumulative transfers from other plans</t>
  </si>
  <si>
    <t>Cumulative transfers from other plans</t>
  </si>
  <si>
    <t>Annual amortization of cumulative transfers from other plans</t>
  </si>
  <si>
    <t>Accumulated amortization</t>
  </si>
  <si>
    <t xml:space="preserve">  100% Pension expenditure before amortization of transfers</t>
  </si>
  <si>
    <t>"expense" + "RCA exp"</t>
  </si>
  <si>
    <t xml:space="preserve">"expense" </t>
  </si>
  <si>
    <t>"RCA exp"</t>
  </si>
  <si>
    <t xml:space="preserve">  annual amortization related to 2012 experience gain (loss)</t>
  </si>
  <si>
    <t xml:space="preserve">  amortization of 2012-13 difference</t>
  </si>
  <si>
    <t xml:space="preserve">   </t>
  </si>
  <si>
    <t xml:space="preserve"> </t>
  </si>
  <si>
    <t>2026-27</t>
  </si>
  <si>
    <t xml:space="preserve">  annual amortization related to 2013 experience gain (loss)</t>
  </si>
  <si>
    <t>*****Amount has been fully amortized by 2006-07, and no longer applies******</t>
  </si>
  <si>
    <t>2027-28</t>
  </si>
  <si>
    <t xml:space="preserve">  annual amortization related to 2014 experience gain (loss)</t>
  </si>
  <si>
    <t xml:space="preserve">  amortization of 2013-14 difference</t>
  </si>
  <si>
    <t>Why add 0.61439875 from this year onward?</t>
  </si>
  <si>
    <t xml:space="preserve">  amortization of 2014-15 difference</t>
  </si>
  <si>
    <t>gain/(loss)</t>
  </si>
  <si>
    <t xml:space="preserve">  annual amortization related to 2015 experience gain (loss)</t>
  </si>
  <si>
    <t xml:space="preserve">  amortization of 2015-16 difference</t>
  </si>
  <si>
    <t>2028-29</t>
  </si>
  <si>
    <t>Add:</t>
  </si>
  <si>
    <t>Impact in 2010-11</t>
  </si>
  <si>
    <t xml:space="preserve">  annual amortization related to 2016 expereince gain (loss)</t>
  </si>
  <si>
    <t>2029-30</t>
  </si>
  <si>
    <t xml:space="preserve">  amortization of 2016-17 difference</t>
  </si>
  <si>
    <t xml:space="preserve">  annual amortization related to 2017 expereince gain (loss)</t>
  </si>
  <si>
    <t xml:space="preserve">  amortization of 2017-18 difference</t>
  </si>
  <si>
    <t>Ontario Teachers' Pension Plan</t>
  </si>
  <si>
    <t>Variance Analysis</t>
  </si>
  <si>
    <t>Original</t>
  </si>
  <si>
    <t>Budget</t>
  </si>
  <si>
    <t>year over year</t>
  </si>
  <si>
    <t>budget to actual</t>
  </si>
  <si>
    <t>$</t>
  </si>
  <si>
    <t>%</t>
  </si>
  <si>
    <t>M</t>
  </si>
  <si>
    <t>Variance is within reason</t>
  </si>
  <si>
    <t>(1)</t>
  </si>
  <si>
    <t>(2)</t>
  </si>
  <si>
    <t>(3)</t>
  </si>
  <si>
    <t>Variance explanation</t>
  </si>
  <si>
    <t>(4)</t>
  </si>
  <si>
    <t>(5)</t>
  </si>
  <si>
    <t xml:space="preserve">  Pension liability (Asset) at March 31</t>
  </si>
  <si>
    <t>Pension interest (revenue) expense</t>
  </si>
  <si>
    <t>Unamortized experience gains (losses)</t>
  </si>
  <si>
    <t>OG Account in Ministry 10</t>
  </si>
  <si>
    <t>Less Contributions</t>
  </si>
  <si>
    <t>Difference</t>
  </si>
  <si>
    <t>PSAB Expense per PSAB Calculation</t>
  </si>
  <si>
    <t>PSAB Expense to reconcile IFIS to PSAB Liability Calculation</t>
  </si>
  <si>
    <t xml:space="preserve">  Less: Ontario special payments for foregone CPI - fiscal year</t>
  </si>
  <si>
    <t xml:space="preserve">  Ontario contribution - fiscal year </t>
  </si>
  <si>
    <t>Special Payments for foregone CPI Index post 2009 Service</t>
  </si>
  <si>
    <t>CPI Special Payments - calendar</t>
  </si>
  <si>
    <t>CPI Special Payments - Fiscal</t>
  </si>
  <si>
    <t>Adjustment for Province's special payments for foreconge CPI Index</t>
  </si>
  <si>
    <t>Adjustment for special payments - foregone CPI</t>
  </si>
  <si>
    <t>"CPI Special Payments" sheet</t>
  </si>
  <si>
    <t>Other Adjustments</t>
  </si>
  <si>
    <t>Fiscal year</t>
  </si>
  <si>
    <t xml:space="preserve">  annual amortization related to 2018 expereince gain (loss)</t>
  </si>
  <si>
    <t xml:space="preserve">  ontario special payments - share the pain payments (Note 1)</t>
  </si>
  <si>
    <t xml:space="preserve">Note 1:  Foregone inflation payments are back out for calculating contribution differences between employer and employee.  As the Province already includes 100% index inflation as part of their expense. Contribution variance impact on additional special payment for foregone inflation is backed out of the calculation on the "contributions" tab".
</t>
  </si>
  <si>
    <t>To bring ministry liability to be in line with PSAB</t>
  </si>
  <si>
    <t>in Budget and in PA for RCA liability</t>
  </si>
  <si>
    <t>Total expense for RCA</t>
  </si>
  <si>
    <t>Add adjust in RCA</t>
  </si>
  <si>
    <t>Total</t>
  </si>
  <si>
    <t>Dr. Liability RCA on EDU's books</t>
  </si>
  <si>
    <t>Dr. Pension RCA Expense</t>
  </si>
  <si>
    <t>Other Adjustment to reconcile RCA</t>
  </si>
  <si>
    <t>Step 3</t>
  </si>
  <si>
    <t xml:space="preserve">  amortization of 2018-19 difference</t>
  </si>
  <si>
    <t xml:space="preserve">  return on investment </t>
  </si>
  <si>
    <t>immaterial</t>
  </si>
  <si>
    <t>Add:  Contributions</t>
  </si>
  <si>
    <t xml:space="preserve"> PSAB expense to be booked</t>
  </si>
  <si>
    <t>Ontario Teachers' Pension Plan (OTPP) Actuarial Asset Value Adjustment ($ millions)</t>
  </si>
  <si>
    <t>Calendar</t>
  </si>
  <si>
    <t>Gain/</t>
  </si>
  <si>
    <t>Year</t>
  </si>
  <si>
    <t>(Loss)</t>
  </si>
  <si>
    <t>Smoothing adjustment or unamortized gains/(losses)</t>
  </si>
  <si>
    <t>Gain/(loss) to be recognized in year</t>
  </si>
  <si>
    <t>Losses incurred between 2000 and 2002</t>
  </si>
  <si>
    <t>Gains earned between 2003 and 2006</t>
  </si>
  <si>
    <t>Losses incurred between 2007 and 2008</t>
  </si>
  <si>
    <t>Gains earned in 2009</t>
  </si>
  <si>
    <t>Gains earned in 2010</t>
  </si>
  <si>
    <t>Gains earned in 2011</t>
  </si>
  <si>
    <t>Gains earned in 2012</t>
  </si>
  <si>
    <t>Gains earned in 2013</t>
  </si>
  <si>
    <t>Gains earned in 2014</t>
  </si>
  <si>
    <t>Net Assets Available December 31, 2014</t>
  </si>
  <si>
    <t>Adjustment for Interest on accounts receivable from Ontario</t>
  </si>
  <si>
    <t>Add:  Interest Earned on Pension Asset based on expected of 6.75%</t>
  </si>
  <si>
    <t>Closing Expected Pension Assets</t>
  </si>
  <si>
    <t>Gain available for smoothing</t>
  </si>
  <si>
    <t xml:space="preserve">  annual amortization related to 2019 expereince gain (loss)</t>
  </si>
  <si>
    <t xml:space="preserve">  amortization of 2019-20 difference</t>
  </si>
  <si>
    <r>
      <t>end of</t>
    </r>
    <r>
      <rPr>
        <sz val="10"/>
        <color indexed="12"/>
        <rFont val="Arial"/>
        <family val="2"/>
      </rPr>
      <t xml:space="preserve"> 2015</t>
    </r>
  </si>
  <si>
    <r>
      <t xml:space="preserve">end of </t>
    </r>
    <r>
      <rPr>
        <sz val="10"/>
        <color indexed="12"/>
        <rFont val="Arial"/>
        <family val="2"/>
      </rPr>
      <t>2015</t>
    </r>
  </si>
  <si>
    <t xml:space="preserve">  actuarial smoothing adjustment</t>
  </si>
  <si>
    <t>Gains earned in 2015</t>
  </si>
  <si>
    <t>2015 Gain available for snoothing based on expected rate of return assumption of 6.50%</t>
  </si>
  <si>
    <t>Gains are derived from the expected rate of return based on Province's Investment return assumption of 6.50%</t>
  </si>
  <si>
    <t>Add:  Total contributions in 2015</t>
  </si>
  <si>
    <t>Less:  Total Benefit Payments 2015</t>
  </si>
  <si>
    <t>Net Assets Available December 31, 2015</t>
  </si>
  <si>
    <t>Add:  Average contributions in 2015</t>
  </si>
  <si>
    <t>Less:  Average benefit payments in 2015</t>
  </si>
  <si>
    <t>Expected rate of return assumption of 6.50%</t>
  </si>
  <si>
    <t>Note:  The Province has moved to Basis 3  The assumptions is Basis 3 is adopted at the end of the year.  Therefore the expected rate of return assumption at the beginning of the year is used for this year (i.e. 6.50%).  For Fiscal 2016-17 the expected rate return of 6.25% will be used to calculate the smooting adjustment.</t>
  </si>
  <si>
    <t>Asset (Obligation) March 31, 2015 Per IFIS</t>
  </si>
  <si>
    <t xml:space="preserve">Increase in amortization gains is due to the following Increase in amortization of investment gains from 2009 to 2014 as more of the investment gains from this period is included in pension fund assets.
</t>
  </si>
  <si>
    <t>Increase benefit obligation is mainly due to 2015 current service cost, 2015 period interest expense less 2015 period benefit payments.</t>
  </si>
  <si>
    <t>The increase in pension fund assets is due to more of the 2009 to 2015 investment gains are being smoothed into pension fund asset closing balance.</t>
  </si>
  <si>
    <t>The unamortized experience gains have increase due to 2015 investment gains are now included in the unamortized experience gains (losses) balance.</t>
  </si>
  <si>
    <r>
      <rPr>
        <b/>
        <u/>
        <sz val="10"/>
        <color indexed="12"/>
        <rFont val="Arial"/>
        <family val="2"/>
      </rPr>
      <t>Overall:</t>
    </r>
    <r>
      <rPr>
        <b/>
        <sz val="10"/>
        <color indexed="12"/>
        <rFont val="Arial"/>
        <family val="2"/>
      </rPr>
      <t xml:space="preserve">  </t>
    </r>
    <r>
      <rPr>
        <sz val="10"/>
        <rFont val="Arial"/>
        <family val="2"/>
      </rPr>
      <t>OTTP pension expense has decreased from prior year mainly due to increase in amortization of investment gains from 2009 to 2014, as more of the investment gains from this period is included in pension fund asset (are being smoothed into pension fund assets).  OTPP Pension net asset has increased due more of the 2009 to 2015 investment gains are being smoothed into pension fund assets closing balance is higher than increase in accrued benefit obligation.</t>
    </r>
  </si>
  <si>
    <t>March 31, 2016</t>
  </si>
  <si>
    <t>Asset (Obligation) March 31, 2016 PSAB Calculation</t>
  </si>
  <si>
    <t>Asset (Obligation) March 31, 2016 IFIS</t>
  </si>
  <si>
    <t>Actual current service cost is higher than orginally forecasted due to the increase active members was higher than orginally forecasted.</t>
  </si>
  <si>
    <t>IFIS</t>
  </si>
  <si>
    <t>Funding obligation - 100% CPI</t>
  </si>
  <si>
    <t>Accounting obligation - 100% CPI</t>
  </si>
  <si>
    <t>Employee contributions</t>
  </si>
  <si>
    <t>Government contributions</t>
  </si>
  <si>
    <t>Benefit payments</t>
  </si>
  <si>
    <t>Funding obligation interest</t>
  </si>
  <si>
    <t>Accounting obligation interest</t>
  </si>
  <si>
    <t>Asset return for the year</t>
  </si>
  <si>
    <t>Total Plan</t>
  </si>
  <si>
    <t>End of year</t>
  </si>
  <si>
    <t>Return on plan asset</t>
  </si>
  <si>
    <t>Interest rate on funding obligation</t>
  </si>
  <si>
    <t>Interest rate on accounting obligation</t>
  </si>
  <si>
    <t>Increase in salary (used for cont)</t>
  </si>
  <si>
    <t>Increase in benefit</t>
  </si>
  <si>
    <t>Funding service cost</t>
  </si>
  <si>
    <t>Accounting service cost</t>
  </si>
  <si>
    <t>Surplus (Deficit) in $M</t>
  </si>
  <si>
    <t>Accounting</t>
  </si>
  <si>
    <t>Going concern (using fair value)</t>
  </si>
  <si>
    <t>Ratio in %</t>
  </si>
  <si>
    <t>a</t>
  </si>
  <si>
    <t>e</t>
  </si>
  <si>
    <t>s</t>
  </si>
  <si>
    <t>b</t>
  </si>
  <si>
    <t>c</t>
  </si>
  <si>
    <t>d</t>
  </si>
  <si>
    <t>f</t>
  </si>
  <si>
    <t>g</t>
  </si>
  <si>
    <t>h</t>
  </si>
  <si>
    <t>t</t>
  </si>
  <si>
    <t>v</t>
  </si>
  <si>
    <t>k</t>
  </si>
  <si>
    <t>l</t>
  </si>
  <si>
    <t>m</t>
  </si>
  <si>
    <t>n</t>
  </si>
  <si>
    <t>o</t>
  </si>
  <si>
    <t>p</t>
  </si>
  <si>
    <t>q</t>
  </si>
  <si>
    <t>r</t>
  </si>
  <si>
    <t>u</t>
  </si>
  <si>
    <t>w</t>
  </si>
  <si>
    <t>Calendar year</t>
  </si>
  <si>
    <t>Beginning of calendar year</t>
  </si>
  <si>
    <t>Asset fair value</t>
  </si>
  <si>
    <t>looking at the PV of future service / PV future contribution (funding report page 9)</t>
  </si>
  <si>
    <t>based on recent experience average (data input)</t>
  </si>
  <si>
    <t>accounting best estimate</t>
  </si>
  <si>
    <t>funding report page 29</t>
  </si>
  <si>
    <t>data input sheet</t>
  </si>
  <si>
    <t>funding report page 9 for service rendered and 100% CPI</t>
  </si>
  <si>
    <t xml:space="preserve"> = (f) x (b) + (l) x (b) x 50% + (k) x (b) x 50%</t>
  </si>
  <si>
    <t xml:space="preserve"> = (g) x (c) + (m) x (c) x 50% + (k) x (c) x 50%</t>
  </si>
  <si>
    <t xml:space="preserve"> = (f) + (l) + (k) + (n)</t>
  </si>
  <si>
    <t xml:space="preserve"> = (g) + (m) + (k) + (o)</t>
  </si>
  <si>
    <t xml:space="preserve"> = (s) - (q)</t>
  </si>
  <si>
    <t xml:space="preserve"> = (s) - (r)</t>
  </si>
  <si>
    <t xml:space="preserve"> = (s) / (q)</t>
  </si>
  <si>
    <t xml:space="preserve"> = (s) / (r)</t>
  </si>
  <si>
    <t>Going concern (using market related)</t>
  </si>
  <si>
    <t>x</t>
  </si>
  <si>
    <t>y</t>
  </si>
  <si>
    <t>z</t>
  </si>
  <si>
    <t xml:space="preserve"> = (t) - (q)</t>
  </si>
  <si>
    <t xml:space="preserve"> = (t) / (q)</t>
  </si>
  <si>
    <t>aa</t>
  </si>
  <si>
    <t>bb</t>
  </si>
  <si>
    <t>cc</t>
  </si>
  <si>
    <t>dd</t>
  </si>
  <si>
    <t>ee</t>
  </si>
  <si>
    <t>expected return for the year at 4.85% = (p) / (a) * (b)</t>
  </si>
  <si>
    <t>actual return for the year = (p)</t>
  </si>
  <si>
    <t>gain (loss) on asset return = (bb) - (aa)</t>
  </si>
  <si>
    <t>spread over 3 years = (cc) / 3</t>
  </si>
  <si>
    <t xml:space="preserve"> = (s) - (ee)</t>
  </si>
  <si>
    <t>3-year adjustment to get market related value = (dd) + (dd) previous year</t>
  </si>
  <si>
    <t>Market-related value calculation</t>
  </si>
  <si>
    <t>Market related value</t>
  </si>
  <si>
    <t>j - 1</t>
  </si>
  <si>
    <t>j - 2</t>
  </si>
  <si>
    <t>Government reduction in contribution</t>
  </si>
  <si>
    <t>Asuming employees get the other 50% of excess surplus through cont reduction</t>
  </si>
  <si>
    <t>i - 1</t>
  </si>
  <si>
    <t>i - 2</t>
  </si>
  <si>
    <t>Employee reduction in cont</t>
  </si>
  <si>
    <t>% reduction in the Government contribution</t>
  </si>
  <si>
    <t>ff</t>
  </si>
  <si>
    <t>gg</t>
  </si>
  <si>
    <t>hh</t>
  </si>
  <si>
    <t>Going-concern surplus in excess of 125% from the Income Tax Act = (t) - 125% x (q)</t>
  </si>
  <si>
    <t>Reduction required in Government contribution assuming uses 50% of excess surplus = min ( 50% x (ff) ; (j -1) form next year)</t>
  </si>
  <si>
    <t xml:space="preserve"> = (gg)</t>
  </si>
  <si>
    <t xml:space="preserve"> = (gg) assuming employees use same % of the ITA excess surplus</t>
  </si>
  <si>
    <t xml:space="preserve"> = (h) x (a) + (i -1) x (a) x 50% + (j - 1) x (a) x 50% + (i -2) x (a) x 50% + (j - 2) x (a) x 50% + (k) x (a) x 50%</t>
  </si>
  <si>
    <t xml:space="preserve"> = (h) + (i -1) + (j - 1) + (i -2) + (j - 2) + (k) + (p)</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</si>
</sst>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_-* #,##0.00_-;\-* #,##0.00_-;_-* &quot;-&quot;??_-;_-@_-"/>
    <numFmt numFmtId="165" formatCode="_(* #,##0.00_);_(* \(#,##0.00\);_(* &quot;-&quot;??_);_(@_)"/>
    <numFmt numFmtId="166" formatCode="0.000%"/>
    <numFmt numFmtId="167" formatCode="_(* #,##0.0_);_(* \(#,##0.0\);_(* &quot;-&quot;??_);_(@_)"/>
    <numFmt numFmtId="168" formatCode="_(* #,##0_);_(* \(#,##0\);_(* &quot;-&quot;??_);_(@_)"/>
    <numFmt numFmtId="169" formatCode="0.0"/>
    <numFmt numFmtId="170" formatCode="#,##0.0"/>
    <numFmt numFmtId="171" formatCode="_(* #,##0.000_);_(* \(#,##0.000\);_(* &quot;-&quot;??_);_(@_)"/>
    <numFmt numFmtId="172" formatCode="_(* #,##0.00000_);_(* \(#,##0.00000\);_(* &quot;-&quot;??_);_(@_)"/>
    <numFmt numFmtId="173" formatCode="#,##0_ ;\-#,##0\ "/>
    <numFmt numFmtId="174" formatCode="0_ ;\-0\ "/>
    <numFmt numFmtId="175" formatCode="_-* #,##0_-;\-* #,##0_-;_-* &quot;-&quot;??_-;_-@_-"/>
    <numFmt numFmtId="176" formatCode="0.0%"/>
    <numFmt numFmtId="177" formatCode="#,##0_);\(#,##0\)"/>
  </numFmts>
  <fonts count="74" x14ac:knownFonts="1">
    <font>
      <sz val="10"/>
      <name val="Arial"/>
    </font>
    <font>
      <sz val="11"/>
      <color theme="1"/>
      <name val="Calibri"/>
      <family val="2"/>
      <scheme val="minor"/>
    </font>
    <font>
      <sz val="10"/>
      <name val="Arial"/>
      <family val="2"/>
    </font>
    <font>
      <b/>
      <sz val="10"/>
      <name val="Arial"/>
      <family val="2"/>
    </font>
    <font>
      <sz val="10"/>
      <name val="Arial"/>
      <family val="2"/>
    </font>
    <font>
      <i/>
      <sz val="10"/>
      <name val="Arial"/>
      <family val="2"/>
    </font>
    <font>
      <b/>
      <sz val="12"/>
      <name val="Arial"/>
      <family val="2"/>
    </font>
    <font>
      <b/>
      <i/>
      <sz val="10"/>
      <name val="Arial"/>
      <family val="2"/>
    </font>
    <font>
      <b/>
      <u/>
      <sz val="10"/>
      <name val="Arial"/>
      <family val="2"/>
    </font>
    <font>
      <b/>
      <i/>
      <u val="singleAccounting"/>
      <sz val="10"/>
      <name val="Arial"/>
      <family val="2"/>
    </font>
    <font>
      <b/>
      <u val="singleAccounting"/>
      <sz val="10"/>
      <name val="Arial"/>
      <family val="2"/>
    </font>
    <font>
      <b/>
      <i/>
      <sz val="12"/>
      <name val="Arial"/>
      <family val="2"/>
    </font>
    <font>
      <b/>
      <i/>
      <sz val="11"/>
      <name val="Arial"/>
      <family val="2"/>
    </font>
    <font>
      <i/>
      <sz val="11"/>
      <name val="Arial"/>
      <family val="2"/>
    </font>
    <font>
      <b/>
      <sz val="11"/>
      <name val="Arial"/>
      <family val="2"/>
    </font>
    <font>
      <sz val="11"/>
      <name val="Arial"/>
      <family val="2"/>
    </font>
    <font>
      <b/>
      <sz val="10"/>
      <color indexed="12"/>
      <name val="Arial"/>
      <family val="2"/>
    </font>
    <font>
      <sz val="10"/>
      <color indexed="12"/>
      <name val="Arial"/>
      <family val="2"/>
    </font>
    <font>
      <sz val="8"/>
      <name val="Arial"/>
      <family val="2"/>
    </font>
    <font>
      <b/>
      <sz val="8"/>
      <name val="Arial"/>
      <family val="2"/>
    </font>
    <font>
      <i/>
      <sz val="8"/>
      <name val="Arial"/>
      <family val="2"/>
    </font>
    <font>
      <b/>
      <i/>
      <sz val="8"/>
      <name val="Arial"/>
      <family val="2"/>
    </font>
    <font>
      <b/>
      <sz val="10"/>
      <name val="Arial"/>
      <family val="2"/>
    </font>
    <font>
      <sz val="10"/>
      <name val="Arial"/>
      <family val="2"/>
    </font>
    <font>
      <i/>
      <sz val="10"/>
      <name val="Arial"/>
      <family val="2"/>
    </font>
    <font>
      <sz val="10"/>
      <name val="Arial"/>
      <family val="2"/>
    </font>
    <font>
      <b/>
      <sz val="10"/>
      <color indexed="12"/>
      <name val="Arial"/>
      <family val="2"/>
    </font>
    <font>
      <sz val="8"/>
      <color indexed="81"/>
      <name val="Tahoma"/>
      <family val="2"/>
    </font>
    <font>
      <b/>
      <sz val="8"/>
      <color indexed="81"/>
      <name val="Tahoma"/>
      <family val="2"/>
    </font>
    <font>
      <strike/>
      <sz val="10"/>
      <color indexed="10"/>
      <name val="Arial"/>
      <family val="2"/>
    </font>
    <font>
      <b/>
      <sz val="10"/>
      <color indexed="17"/>
      <name val="Arial"/>
      <family val="2"/>
    </font>
    <font>
      <sz val="10"/>
      <color indexed="10"/>
      <name val="Arial"/>
      <family val="2"/>
    </font>
    <font>
      <b/>
      <sz val="10"/>
      <color indexed="10"/>
      <name val="Arial"/>
      <family val="2"/>
    </font>
    <font>
      <b/>
      <u/>
      <sz val="10"/>
      <color indexed="12"/>
      <name val="Arial"/>
      <family val="2"/>
    </font>
    <font>
      <sz val="10"/>
      <name val="Arial"/>
      <family val="2"/>
    </font>
    <font>
      <b/>
      <sz val="9"/>
      <color indexed="81"/>
      <name val="Tahoma"/>
      <family val="2"/>
    </font>
    <font>
      <sz val="9"/>
      <color indexed="81"/>
      <name val="Tahoma"/>
      <family val="2"/>
    </font>
    <font>
      <sz val="10"/>
      <color rgb="FF0070C0"/>
      <name val="Arial"/>
      <family val="2"/>
    </font>
    <font>
      <b/>
      <sz val="8"/>
      <color theme="6" tint="-0.499984740745262"/>
      <name val="Arial"/>
      <family val="2"/>
    </font>
    <font>
      <sz val="8"/>
      <color theme="6" tint="-0.499984740745262"/>
      <name val="Arial"/>
      <family val="2"/>
    </font>
    <font>
      <sz val="10"/>
      <color rgb="FFFFFF00"/>
      <name val="Arial"/>
      <family val="2"/>
    </font>
    <font>
      <sz val="10"/>
      <color theme="3"/>
      <name val="Arial"/>
      <family val="2"/>
    </font>
    <font>
      <sz val="10"/>
      <color rgb="FFC00000"/>
      <name val="Arial"/>
      <family val="2"/>
    </font>
    <font>
      <b/>
      <sz val="10"/>
      <color rgb="FFC00000"/>
      <name val="Arial"/>
      <family val="2"/>
    </font>
    <font>
      <sz val="10"/>
      <color theme="1"/>
      <name val="Arial"/>
      <family val="2"/>
    </font>
    <font>
      <sz val="10"/>
      <color theme="4"/>
      <name val="Arial"/>
      <family val="2"/>
    </font>
    <font>
      <u/>
      <sz val="9"/>
      <color indexed="81"/>
      <name val="Tahoma"/>
      <family val="2"/>
    </font>
    <font>
      <sz val="10"/>
      <color rgb="FF00B0F0"/>
      <name val="Arial"/>
      <family val="2"/>
    </font>
    <font>
      <i/>
      <sz val="10"/>
      <color theme="1"/>
      <name val="Arial"/>
      <family val="2"/>
    </font>
    <font>
      <b/>
      <sz val="10"/>
      <color theme="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66FF"/>
      <name val="Arial"/>
      <family val="2"/>
    </font>
    <font>
      <sz val="11"/>
      <color indexed="8"/>
      <name val="Calibri"/>
      <family val="2"/>
    </font>
    <font>
      <b/>
      <sz val="11"/>
      <color indexed="8"/>
      <name val="Calibri"/>
      <family val="2"/>
    </font>
    <font>
      <b/>
      <sz val="11"/>
      <color theme="7" tint="-0.249977111117893"/>
      <name val="Calibri"/>
      <family val="2"/>
    </font>
    <font>
      <sz val="10"/>
      <color theme="7" tint="-0.249977111117893"/>
      <name val="Arial"/>
      <family val="2"/>
    </font>
    <font>
      <sz val="10"/>
      <color rgb="FFFF0000"/>
      <name val="Arial"/>
      <family val="2"/>
    </font>
    <font>
      <i/>
      <sz val="10"/>
      <color rgb="FFFF0000"/>
      <name val="Arial"/>
      <family val="2"/>
    </font>
    <font>
      <sz val="10"/>
      <color theme="3" tint="0.39997558519241921"/>
      <name val="Arial"/>
      <family val="2"/>
    </font>
  </fonts>
  <fills count="52">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46"/>
        <bgColor indexed="64"/>
      </patternFill>
    </fill>
    <fill>
      <patternFill patternType="solid">
        <fgColor rgb="FFFFFF0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92D0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rgb="FFFFC000"/>
        <bgColor indexed="64"/>
      </patternFill>
    </fill>
  </fills>
  <borders count="2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style="thin">
        <color indexed="64"/>
      </bottom>
      <diagonal/>
    </border>
  </borders>
  <cellStyleXfs count="48">
    <xf numFmtId="0" fontId="0" fillId="0" borderId="0"/>
    <xf numFmtId="165" fontId="2" fillId="0" borderId="0" applyFont="0" applyFill="0" applyBorder="0" applyAlignment="0" applyProtection="0"/>
    <xf numFmtId="9" fontId="2" fillId="0" borderId="0" applyFont="0" applyFill="0" applyBorder="0" applyAlignment="0" applyProtection="0"/>
    <xf numFmtId="0" fontId="50" fillId="0" borderId="0" applyNumberFormat="0" applyFill="0" applyBorder="0" applyAlignment="0" applyProtection="0"/>
    <xf numFmtId="0" fontId="51" fillId="0" borderId="11" applyNumberFormat="0" applyFill="0" applyAlignment="0" applyProtection="0"/>
    <xf numFmtId="0" fontId="52" fillId="0" borderId="12" applyNumberFormat="0" applyFill="0" applyAlignment="0" applyProtection="0"/>
    <xf numFmtId="0" fontId="53" fillId="0" borderId="13" applyNumberFormat="0" applyFill="0" applyAlignment="0" applyProtection="0"/>
    <xf numFmtId="0" fontId="53" fillId="0" borderId="0" applyNumberFormat="0" applyFill="0" applyBorder="0" applyAlignment="0" applyProtection="0"/>
    <xf numFmtId="0" fontId="54" fillId="15" borderId="0" applyNumberFormat="0" applyBorder="0" applyAlignment="0" applyProtection="0"/>
    <xf numFmtId="0" fontId="55" fillId="16" borderId="0" applyNumberFormat="0" applyBorder="0" applyAlignment="0" applyProtection="0"/>
    <xf numFmtId="0" fontId="56" fillId="17" borderId="0" applyNumberFormat="0" applyBorder="0" applyAlignment="0" applyProtection="0"/>
    <xf numFmtId="0" fontId="57" fillId="18" borderId="14" applyNumberFormat="0" applyAlignment="0" applyProtection="0"/>
    <xf numFmtId="0" fontId="58" fillId="19" borderId="15" applyNumberFormat="0" applyAlignment="0" applyProtection="0"/>
    <xf numFmtId="0" fontId="59" fillId="19" borderId="14" applyNumberFormat="0" applyAlignment="0" applyProtection="0"/>
    <xf numFmtId="0" fontId="60" fillId="0" borderId="16" applyNumberFormat="0" applyFill="0" applyAlignment="0" applyProtection="0"/>
    <xf numFmtId="0" fontId="61" fillId="20" borderId="17" applyNumberFormat="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19" applyNumberFormat="0" applyFill="0" applyAlignment="0" applyProtection="0"/>
    <xf numFmtId="0" fontId="65"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65" fillId="25" borderId="0" applyNumberFormat="0" applyBorder="0" applyAlignment="0" applyProtection="0"/>
    <xf numFmtId="0" fontId="65"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65" fillId="29" borderId="0" applyNumberFormat="0" applyBorder="0" applyAlignment="0" applyProtection="0"/>
    <xf numFmtId="0" fontId="65"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65" fillId="33" borderId="0" applyNumberFormat="0" applyBorder="0" applyAlignment="0" applyProtection="0"/>
    <xf numFmtId="0" fontId="65"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65" fillId="37" borderId="0" applyNumberFormat="0" applyBorder="0" applyAlignment="0" applyProtection="0"/>
    <xf numFmtId="0" fontId="65"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65" fillId="41" borderId="0" applyNumberFormat="0" applyBorder="0" applyAlignment="0" applyProtection="0"/>
    <xf numFmtId="0" fontId="65"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65" fillId="45" borderId="0" applyNumberFormat="0" applyBorder="0" applyAlignment="0" applyProtection="0"/>
    <xf numFmtId="0" fontId="1" fillId="0" borderId="0"/>
    <xf numFmtId="0" fontId="2" fillId="0" borderId="0"/>
    <xf numFmtId="0" fontId="1" fillId="21" borderId="18" applyNumberFormat="0" applyFont="0" applyAlignment="0" applyProtection="0"/>
    <xf numFmtId="0" fontId="67" fillId="0" borderId="0"/>
    <xf numFmtId="165" fontId="67" fillId="0" borderId="0" applyFont="0" applyFill="0" applyBorder="0" applyAlignment="0" applyProtection="0"/>
  </cellStyleXfs>
  <cellXfs count="593">
    <xf numFmtId="0" fontId="0" fillId="0" borderId="0" xfId="0"/>
    <xf numFmtId="166" fontId="0" fillId="0" borderId="0" xfId="2" applyNumberFormat="1" applyFont="1"/>
    <xf numFmtId="0" fontId="3" fillId="0" borderId="0" xfId="0" applyFont="1"/>
    <xf numFmtId="168" fontId="0" fillId="0" borderId="0" xfId="1" applyNumberFormat="1" applyFont="1"/>
    <xf numFmtId="166" fontId="0" fillId="0" borderId="1" xfId="2" applyNumberFormat="1" applyFont="1" applyBorder="1"/>
    <xf numFmtId="166" fontId="0" fillId="0" borderId="2" xfId="2" applyNumberFormat="1" applyFont="1" applyBorder="1"/>
    <xf numFmtId="168" fontId="0" fillId="0" borderId="1" xfId="1" applyNumberFormat="1" applyFont="1" applyBorder="1"/>
    <xf numFmtId="168" fontId="0" fillId="0" borderId="2" xfId="1" applyNumberFormat="1" applyFont="1" applyBorder="1"/>
    <xf numFmtId="168" fontId="5" fillId="0" borderId="0" xfId="1" applyNumberFormat="1" applyFont="1"/>
    <xf numFmtId="168" fontId="4" fillId="0" borderId="0" xfId="1" applyNumberFormat="1" applyFont="1"/>
    <xf numFmtId="168" fontId="4" fillId="0" borderId="2" xfId="1" applyNumberFormat="1" applyFont="1" applyBorder="1"/>
    <xf numFmtId="0" fontId="0" fillId="0" borderId="1" xfId="0" applyBorder="1"/>
    <xf numFmtId="168" fontId="3" fillId="0" borderId="0" xfId="1" applyNumberFormat="1" applyFont="1"/>
    <xf numFmtId="0" fontId="3" fillId="0" borderId="0" xfId="0" applyFont="1" applyAlignment="1">
      <alignment horizontal="center"/>
    </xf>
    <xf numFmtId="0" fontId="5" fillId="0" borderId="0" xfId="0" applyFont="1"/>
    <xf numFmtId="168" fontId="5" fillId="0" borderId="0" xfId="0" applyNumberFormat="1" applyFont="1"/>
    <xf numFmtId="0" fontId="0" fillId="0" borderId="0" xfId="0" applyAlignment="1">
      <alignment horizontal="center"/>
    </xf>
    <xf numFmtId="0" fontId="4" fillId="0" borderId="0" xfId="0" applyFont="1" applyAlignment="1">
      <alignment horizontal="center"/>
    </xf>
    <xf numFmtId="0" fontId="6" fillId="0" borderId="0" xfId="0" applyFont="1"/>
    <xf numFmtId="0" fontId="3" fillId="0" borderId="3" xfId="0" applyFont="1" applyBorder="1"/>
    <xf numFmtId="0" fontId="3" fillId="0" borderId="3" xfId="0" applyFont="1" applyBorder="1" applyAlignment="1">
      <alignment horizontal="center"/>
    </xf>
    <xf numFmtId="168" fontId="5" fillId="0" borderId="4" xfId="1" applyNumberFormat="1" applyFont="1" applyBorder="1"/>
    <xf numFmtId="168" fontId="0" fillId="0" borderId="0" xfId="0" applyNumberFormat="1"/>
    <xf numFmtId="168" fontId="0" fillId="0" borderId="0" xfId="1" applyNumberFormat="1" applyFont="1" applyAlignment="1">
      <alignment horizontal="right"/>
    </xf>
    <xf numFmtId="168" fontId="0" fillId="0" borderId="1" xfId="1" applyNumberFormat="1" applyFont="1" applyBorder="1" applyAlignment="1">
      <alignment horizontal="right"/>
    </xf>
    <xf numFmtId="168" fontId="7" fillId="0" borderId="0" xfId="1" applyNumberFormat="1" applyFont="1"/>
    <xf numFmtId="168" fontId="7" fillId="0" borderId="4" xfId="1" applyNumberFormat="1" applyFont="1" applyBorder="1"/>
    <xf numFmtId="168" fontId="6" fillId="0" borderId="5" xfId="0" applyNumberFormat="1" applyFont="1" applyBorder="1"/>
    <xf numFmtId="0" fontId="8" fillId="0" borderId="0" xfId="0" applyFont="1"/>
    <xf numFmtId="168" fontId="0" fillId="0" borderId="6" xfId="1" applyNumberFormat="1" applyFont="1" applyBorder="1"/>
    <xf numFmtId="168" fontId="4" fillId="0" borderId="7" xfId="1" applyNumberFormat="1" applyFont="1" applyBorder="1" applyAlignment="1">
      <alignment horizontal="right"/>
    </xf>
    <xf numFmtId="0" fontId="7" fillId="0" borderId="0" xfId="0" applyFont="1"/>
    <xf numFmtId="168" fontId="7" fillId="0" borderId="8" xfId="0" applyNumberFormat="1" applyFont="1" applyBorder="1"/>
    <xf numFmtId="168" fontId="0" fillId="0" borderId="4" xfId="0" applyNumberFormat="1" applyBorder="1"/>
    <xf numFmtId="168" fontId="3" fillId="0" borderId="4" xfId="0" applyNumberFormat="1" applyFont="1" applyBorder="1"/>
    <xf numFmtId="168" fontId="5" fillId="0" borderId="1" xfId="1" applyNumberFormat="1" applyFont="1" applyBorder="1"/>
    <xf numFmtId="168" fontId="7" fillId="0" borderId="1" xfId="1" applyNumberFormat="1" applyFont="1" applyBorder="1"/>
    <xf numFmtId="168" fontId="7" fillId="0" borderId="4" xfId="0" applyNumberFormat="1" applyFont="1" applyBorder="1"/>
    <xf numFmtId="168" fontId="0" fillId="0" borderId="1" xfId="0" applyNumberFormat="1" applyBorder="1"/>
    <xf numFmtId="168" fontId="7" fillId="0" borderId="0" xfId="1" applyNumberFormat="1" applyFont="1" applyBorder="1"/>
    <xf numFmtId="168" fontId="9" fillId="0" borderId="0" xfId="1" applyNumberFormat="1" applyFont="1"/>
    <xf numFmtId="168" fontId="10" fillId="0" borderId="0" xfId="1" applyNumberFormat="1" applyFont="1"/>
    <xf numFmtId="168" fontId="4" fillId="0" borderId="0" xfId="1" quotePrefix="1" applyNumberFormat="1" applyFont="1"/>
    <xf numFmtId="168" fontId="6" fillId="0" borderId="4" xfId="0" applyNumberFormat="1" applyFont="1" applyBorder="1"/>
    <xf numFmtId="0" fontId="3" fillId="0" borderId="0" xfId="0" quotePrefix="1" applyFont="1"/>
    <xf numFmtId="168" fontId="0" fillId="0" borderId="0" xfId="1" applyNumberFormat="1" applyFont="1" applyBorder="1"/>
    <xf numFmtId="168" fontId="3" fillId="0" borderId="3" xfId="1" applyNumberFormat="1" applyFont="1" applyBorder="1"/>
    <xf numFmtId="168" fontId="3" fillId="0" borderId="3" xfId="1" applyNumberFormat="1" applyFont="1" applyBorder="1" applyAlignment="1">
      <alignment horizontal="center"/>
    </xf>
    <xf numFmtId="168" fontId="5" fillId="0" borderId="2" xfId="1" applyNumberFormat="1" applyFont="1" applyBorder="1"/>
    <xf numFmtId="168" fontId="6" fillId="0" borderId="0" xfId="1" applyNumberFormat="1" applyFont="1"/>
    <xf numFmtId="168" fontId="5" fillId="0" borderId="0" xfId="1" applyNumberFormat="1" applyFont="1" applyBorder="1"/>
    <xf numFmtId="168" fontId="0" fillId="0" borderId="5" xfId="1" applyNumberFormat="1" applyFont="1" applyBorder="1"/>
    <xf numFmtId="168" fontId="11" fillId="0" borderId="0" xfId="1" applyNumberFormat="1" applyFont="1"/>
    <xf numFmtId="168" fontId="3" fillId="0" borderId="0" xfId="1" quotePrefix="1" applyNumberFormat="1" applyFont="1"/>
    <xf numFmtId="168" fontId="6" fillId="0" borderId="5" xfId="1" applyNumberFormat="1" applyFont="1" applyBorder="1"/>
    <xf numFmtId="168" fontId="0" fillId="0" borderId="0" xfId="1" applyNumberFormat="1" applyFont="1" applyBorder="1" applyAlignment="1">
      <alignment horizontal="right"/>
    </xf>
    <xf numFmtId="168" fontId="6" fillId="0" borderId="4" xfId="1" applyNumberFormat="1" applyFont="1" applyBorder="1"/>
    <xf numFmtId="168" fontId="4" fillId="0" borderId="1" xfId="1" applyNumberFormat="1" applyFont="1" applyBorder="1"/>
    <xf numFmtId="166" fontId="4" fillId="0" borderId="0" xfId="2" applyNumberFormat="1" applyFont="1"/>
    <xf numFmtId="168" fontId="12" fillId="0" borderId="0" xfId="1" applyNumberFormat="1" applyFont="1"/>
    <xf numFmtId="168" fontId="13" fillId="0" borderId="0" xfId="1" applyNumberFormat="1" applyFont="1"/>
    <xf numFmtId="168" fontId="12" fillId="0" borderId="5" xfId="1" applyNumberFormat="1" applyFont="1" applyBorder="1"/>
    <xf numFmtId="49" fontId="3" fillId="0" borderId="3" xfId="0" applyNumberFormat="1" applyFont="1" applyBorder="1" applyAlignment="1">
      <alignment horizontal="center"/>
    </xf>
    <xf numFmtId="0" fontId="14" fillId="0" borderId="0" xfId="0" applyFont="1"/>
    <xf numFmtId="0" fontId="15" fillId="0" borderId="0" xfId="0" applyFont="1"/>
    <xf numFmtId="168" fontId="14" fillId="0" borderId="5" xfId="0" applyNumberFormat="1" applyFont="1" applyBorder="1"/>
    <xf numFmtId="168" fontId="0" fillId="0" borderId="5" xfId="0" applyNumberFormat="1" applyBorder="1"/>
    <xf numFmtId="168" fontId="3" fillId="0" borderId="5" xfId="0" applyNumberFormat="1" applyFont="1" applyBorder="1"/>
    <xf numFmtId="37" fontId="0" fillId="0" borderId="0" xfId="1" applyNumberFormat="1" applyFont="1"/>
    <xf numFmtId="168" fontId="0" fillId="0" borderId="0" xfId="1" quotePrefix="1" applyNumberFormat="1" applyFont="1"/>
    <xf numFmtId="3" fontId="4" fillId="0" borderId="0" xfId="1" applyNumberFormat="1" applyFont="1"/>
    <xf numFmtId="168" fontId="6" fillId="0" borderId="0" xfId="1" applyNumberFormat="1" applyFont="1" applyBorder="1"/>
    <xf numFmtId="37" fontId="4" fillId="0" borderId="0" xfId="1" applyNumberFormat="1" applyFont="1"/>
    <xf numFmtId="0" fontId="3" fillId="0" borderId="0" xfId="0" applyFont="1" applyBorder="1" applyAlignment="1">
      <alignment horizontal="center"/>
    </xf>
    <xf numFmtId="168" fontId="0" fillId="0" borderId="0" xfId="0" applyNumberFormat="1" applyBorder="1"/>
    <xf numFmtId="168" fontId="6" fillId="0" borderId="0" xfId="0" applyNumberFormat="1" applyFont="1" applyBorder="1"/>
    <xf numFmtId="0" fontId="0" fillId="2" borderId="0" xfId="0" applyFill="1"/>
    <xf numFmtId="0" fontId="3" fillId="2" borderId="3" xfId="0" applyFont="1" applyFill="1" applyBorder="1" applyAlignment="1">
      <alignment horizontal="center"/>
    </xf>
    <xf numFmtId="168" fontId="5" fillId="2" borderId="0" xfId="1" applyNumberFormat="1" applyFont="1" applyFill="1"/>
    <xf numFmtId="168" fontId="0" fillId="2" borderId="0" xfId="1" applyNumberFormat="1" applyFont="1" applyFill="1"/>
    <xf numFmtId="168" fontId="5" fillId="2" borderId="0" xfId="0" applyNumberFormat="1" applyFont="1" applyFill="1"/>
    <xf numFmtId="168" fontId="0" fillId="2" borderId="1" xfId="1" applyNumberFormat="1" applyFont="1" applyFill="1" applyBorder="1"/>
    <xf numFmtId="166" fontId="0" fillId="2" borderId="1" xfId="2" applyNumberFormat="1" applyFont="1" applyFill="1" applyBorder="1"/>
    <xf numFmtId="168" fontId="7" fillId="2" borderId="4" xfId="1" applyNumberFormat="1" applyFont="1" applyFill="1" applyBorder="1"/>
    <xf numFmtId="168" fontId="0" fillId="2" borderId="0" xfId="1" applyNumberFormat="1" applyFont="1" applyFill="1" applyAlignment="1">
      <alignment horizontal="right"/>
    </xf>
    <xf numFmtId="168" fontId="0" fillId="2" borderId="0" xfId="0" applyNumberFormat="1" applyFill="1"/>
    <xf numFmtId="168" fontId="0" fillId="2" borderId="1" xfId="1" applyNumberFormat="1" applyFont="1" applyFill="1" applyBorder="1" applyAlignment="1">
      <alignment horizontal="right"/>
    </xf>
    <xf numFmtId="168" fontId="14" fillId="2" borderId="5" xfId="0" applyNumberFormat="1" applyFont="1" applyFill="1" applyBorder="1"/>
    <xf numFmtId="168" fontId="7" fillId="2" borderId="8" xfId="0" applyNumberFormat="1" applyFont="1" applyFill="1" applyBorder="1"/>
    <xf numFmtId="0" fontId="0" fillId="2" borderId="1" xfId="0" applyFill="1" applyBorder="1"/>
    <xf numFmtId="168" fontId="7" fillId="2" borderId="0" xfId="1" applyNumberFormat="1" applyFont="1" applyFill="1" applyBorder="1"/>
    <xf numFmtId="168" fontId="7" fillId="2" borderId="4" xfId="0" applyNumberFormat="1" applyFont="1" applyFill="1" applyBorder="1"/>
    <xf numFmtId="168" fontId="0" fillId="2" borderId="1" xfId="0" applyNumberFormat="1" applyFill="1" applyBorder="1"/>
    <xf numFmtId="168" fontId="6" fillId="2" borderId="5" xfId="0" applyNumberFormat="1" applyFont="1" applyFill="1" applyBorder="1"/>
    <xf numFmtId="168" fontId="0" fillId="2" borderId="5" xfId="0" applyNumberFormat="1" applyFill="1" applyBorder="1"/>
    <xf numFmtId="168" fontId="5" fillId="2" borderId="4" xfId="1" applyNumberFormat="1" applyFont="1" applyFill="1" applyBorder="1"/>
    <xf numFmtId="168" fontId="6" fillId="2" borderId="4" xfId="0" applyNumberFormat="1" applyFont="1" applyFill="1" applyBorder="1"/>
    <xf numFmtId="168" fontId="3" fillId="2" borderId="3" xfId="1" applyNumberFormat="1" applyFont="1" applyFill="1" applyBorder="1" applyAlignment="1">
      <alignment horizontal="center"/>
    </xf>
    <xf numFmtId="168" fontId="5" fillId="2" borderId="0" xfId="1" applyNumberFormat="1" applyFont="1" applyFill="1" applyBorder="1"/>
    <xf numFmtId="168" fontId="6" fillId="2" borderId="5" xfId="1" applyNumberFormat="1" applyFont="1" applyFill="1" applyBorder="1"/>
    <xf numFmtId="168" fontId="0" fillId="2" borderId="0" xfId="1" applyNumberFormat="1" applyFont="1" applyFill="1" applyBorder="1"/>
    <xf numFmtId="168" fontId="0" fillId="2" borderId="0" xfId="1" applyNumberFormat="1" applyFont="1" applyFill="1" applyBorder="1" applyAlignment="1">
      <alignment horizontal="right"/>
    </xf>
    <xf numFmtId="168" fontId="6" fillId="2" borderId="4" xfId="1" applyNumberFormat="1" applyFont="1" applyFill="1" applyBorder="1"/>
    <xf numFmtId="168" fontId="4" fillId="2" borderId="0" xfId="1" applyNumberFormat="1" applyFont="1" applyFill="1"/>
    <xf numFmtId="3" fontId="4" fillId="2" borderId="0" xfId="1" applyNumberFormat="1" applyFont="1" applyFill="1"/>
    <xf numFmtId="168" fontId="4" fillId="2" borderId="1" xfId="1" applyNumberFormat="1" applyFont="1" applyFill="1" applyBorder="1"/>
    <xf numFmtId="168" fontId="0" fillId="2" borderId="5" xfId="1" applyNumberFormat="1" applyFont="1" applyFill="1" applyBorder="1"/>
    <xf numFmtId="168" fontId="0" fillId="0" borderId="0" xfId="0" applyNumberFormat="1" applyFill="1"/>
    <xf numFmtId="168" fontId="12" fillId="2" borderId="5" xfId="1" applyNumberFormat="1" applyFont="1" applyFill="1" applyBorder="1"/>
    <xf numFmtId="49" fontId="3" fillId="2" borderId="3" xfId="0" applyNumberFormat="1" applyFont="1" applyFill="1" applyBorder="1" applyAlignment="1">
      <alignment horizontal="center"/>
    </xf>
    <xf numFmtId="168" fontId="0" fillId="2" borderId="0" xfId="1" quotePrefix="1" applyNumberFormat="1" applyFont="1" applyFill="1"/>
    <xf numFmtId="37" fontId="0" fillId="2" borderId="0" xfId="1" applyNumberFormat="1" applyFont="1" applyFill="1"/>
    <xf numFmtId="168" fontId="6" fillId="2" borderId="0" xfId="1" applyNumberFormat="1" applyFont="1" applyFill="1" applyBorder="1"/>
    <xf numFmtId="37" fontId="4" fillId="2" borderId="0" xfId="1" applyNumberFormat="1" applyFont="1" applyFill="1"/>
    <xf numFmtId="168" fontId="3" fillId="2" borderId="5" xfId="0" applyNumberFormat="1" applyFont="1" applyFill="1" applyBorder="1"/>
    <xf numFmtId="0" fontId="0" fillId="0" borderId="2" xfId="0" applyBorder="1"/>
    <xf numFmtId="0" fontId="0" fillId="0" borderId="0" xfId="0" applyFill="1"/>
    <xf numFmtId="0" fontId="3" fillId="0" borderId="3" xfId="0" applyFont="1" applyFill="1" applyBorder="1" applyAlignment="1">
      <alignment horizontal="center"/>
    </xf>
    <xf numFmtId="166" fontId="0" fillId="0" borderId="2" xfId="2" applyNumberFormat="1" applyFont="1" applyFill="1" applyBorder="1"/>
    <xf numFmtId="168" fontId="0" fillId="0" borderId="2" xfId="1" applyNumberFormat="1" applyFont="1" applyFill="1" applyBorder="1"/>
    <xf numFmtId="168" fontId="5" fillId="0" borderId="0" xfId="1" applyNumberFormat="1" applyFont="1" applyFill="1"/>
    <xf numFmtId="168" fontId="4" fillId="0" borderId="2" xfId="1" applyNumberFormat="1" applyFont="1" applyFill="1" applyBorder="1"/>
    <xf numFmtId="168" fontId="0" fillId="0" borderId="0" xfId="1" applyNumberFormat="1" applyFont="1" applyFill="1"/>
    <xf numFmtId="168" fontId="5" fillId="0" borderId="2" xfId="1" applyNumberFormat="1" applyFont="1" applyFill="1" applyBorder="1"/>
    <xf numFmtId="0" fontId="3" fillId="0" borderId="0" xfId="0" applyFont="1" applyFill="1" applyAlignment="1">
      <alignment horizontal="center"/>
    </xf>
    <xf numFmtId="168" fontId="5" fillId="0" borderId="0" xfId="0" applyNumberFormat="1" applyFont="1" applyFill="1"/>
    <xf numFmtId="168" fontId="0" fillId="0" borderId="1" xfId="1" applyNumberFormat="1" applyFont="1" applyFill="1" applyBorder="1"/>
    <xf numFmtId="168" fontId="6" fillId="0" borderId="5" xfId="1" applyNumberFormat="1" applyFont="1" applyFill="1" applyBorder="1"/>
    <xf numFmtId="168" fontId="0" fillId="0" borderId="0" xfId="1" applyNumberFormat="1" applyFont="1" applyFill="1" applyBorder="1"/>
    <xf numFmtId="166" fontId="0" fillId="0" borderId="1" xfId="2" applyNumberFormat="1" applyFont="1" applyFill="1" applyBorder="1"/>
    <xf numFmtId="168" fontId="7" fillId="0" borderId="4" xfId="1" applyNumberFormat="1" applyFont="1" applyFill="1" applyBorder="1"/>
    <xf numFmtId="168" fontId="0" fillId="0" borderId="0" xfId="1" applyNumberFormat="1" applyFont="1" applyFill="1" applyAlignment="1">
      <alignment horizontal="right"/>
    </xf>
    <xf numFmtId="168" fontId="0" fillId="0" borderId="1" xfId="1" applyNumberFormat="1" applyFont="1" applyFill="1" applyBorder="1" applyAlignment="1">
      <alignment horizontal="right"/>
    </xf>
    <xf numFmtId="168" fontId="14" fillId="0" borderId="5" xfId="0" applyNumberFormat="1" applyFont="1" applyFill="1" applyBorder="1"/>
    <xf numFmtId="168" fontId="7" fillId="0" borderId="8" xfId="0" applyNumberFormat="1" applyFont="1" applyFill="1" applyBorder="1"/>
    <xf numFmtId="0" fontId="0" fillId="0" borderId="1" xfId="0" applyFill="1" applyBorder="1"/>
    <xf numFmtId="168" fontId="7" fillId="0" borderId="0" xfId="1" applyNumberFormat="1" applyFont="1" applyFill="1" applyBorder="1"/>
    <xf numFmtId="168" fontId="7" fillId="0" borderId="4" xfId="0" applyNumberFormat="1" applyFont="1" applyFill="1" applyBorder="1"/>
    <xf numFmtId="168" fontId="0" fillId="0" borderId="1" xfId="0" applyNumberFormat="1" applyFill="1" applyBorder="1"/>
    <xf numFmtId="168" fontId="6" fillId="0" borderId="5" xfId="0" applyNumberFormat="1" applyFont="1" applyFill="1" applyBorder="1"/>
    <xf numFmtId="168" fontId="0" fillId="0" borderId="5" xfId="0" applyNumberFormat="1" applyFill="1" applyBorder="1"/>
    <xf numFmtId="168" fontId="5" fillId="0" borderId="4" xfId="1" applyNumberFormat="1" applyFont="1" applyFill="1" applyBorder="1"/>
    <xf numFmtId="168" fontId="6" fillId="0" borderId="4" xfId="0" applyNumberFormat="1" applyFont="1" applyFill="1" applyBorder="1"/>
    <xf numFmtId="168" fontId="3" fillId="0" borderId="3" xfId="1" applyNumberFormat="1" applyFont="1" applyFill="1" applyBorder="1" applyAlignment="1">
      <alignment horizontal="center"/>
    </xf>
    <xf numFmtId="168" fontId="5" fillId="0" borderId="0" xfId="1" applyNumberFormat="1" applyFont="1" applyFill="1" applyBorder="1"/>
    <xf numFmtId="168" fontId="0" fillId="0" borderId="0" xfId="1" applyNumberFormat="1" applyFont="1" applyFill="1" applyBorder="1" applyAlignment="1">
      <alignment horizontal="right"/>
    </xf>
    <xf numFmtId="168" fontId="6" fillId="0" borderId="4" xfId="1" applyNumberFormat="1" applyFont="1" applyFill="1" applyBorder="1"/>
    <xf numFmtId="168" fontId="4" fillId="0" borderId="0" xfId="1" applyNumberFormat="1" applyFont="1" applyFill="1"/>
    <xf numFmtId="168" fontId="4" fillId="0" borderId="1" xfId="1" applyNumberFormat="1" applyFont="1" applyFill="1" applyBorder="1"/>
    <xf numFmtId="168" fontId="0" fillId="0" borderId="5" xfId="1" applyNumberFormat="1" applyFont="1" applyFill="1" applyBorder="1"/>
    <xf numFmtId="168" fontId="3" fillId="0" borderId="5" xfId="0" applyNumberFormat="1" applyFont="1" applyFill="1" applyBorder="1"/>
    <xf numFmtId="49" fontId="3" fillId="0" borderId="3" xfId="0" applyNumberFormat="1" applyFont="1" applyFill="1" applyBorder="1" applyAlignment="1">
      <alignment horizontal="center"/>
    </xf>
    <xf numFmtId="168" fontId="0" fillId="0" borderId="0" xfId="1" quotePrefix="1" applyNumberFormat="1" applyFont="1" applyFill="1"/>
    <xf numFmtId="168" fontId="12" fillId="0" borderId="5" xfId="1" applyNumberFormat="1" applyFont="1" applyFill="1" applyBorder="1"/>
    <xf numFmtId="37" fontId="0" fillId="0" borderId="0" xfId="1" applyNumberFormat="1" applyFont="1" applyFill="1"/>
    <xf numFmtId="168" fontId="6" fillId="0" borderId="0" xfId="1" applyNumberFormat="1" applyFont="1" applyFill="1" applyBorder="1"/>
    <xf numFmtId="1" fontId="0" fillId="0" borderId="2" xfId="0" applyNumberFormat="1" applyFill="1" applyBorder="1"/>
    <xf numFmtId="168" fontId="4" fillId="0" borderId="0" xfId="1" applyNumberFormat="1" applyFont="1" applyFill="1" applyBorder="1"/>
    <xf numFmtId="168" fontId="0" fillId="3" borderId="0" xfId="1" applyNumberFormat="1" applyFont="1" applyFill="1"/>
    <xf numFmtId="168" fontId="0" fillId="3" borderId="2" xfId="1" applyNumberFormat="1" applyFont="1" applyFill="1" applyBorder="1"/>
    <xf numFmtId="3" fontId="0" fillId="0" borderId="0" xfId="0" applyNumberFormat="1" applyFill="1"/>
    <xf numFmtId="3" fontId="0" fillId="2" borderId="0" xfId="0" applyNumberFormat="1" applyFill="1"/>
    <xf numFmtId="0" fontId="0" fillId="3" borderId="1" xfId="0" applyFill="1" applyBorder="1"/>
    <xf numFmtId="3" fontId="0" fillId="3" borderId="1" xfId="0" applyNumberFormat="1" applyFill="1" applyBorder="1"/>
    <xf numFmtId="168" fontId="6" fillId="0" borderId="0" xfId="0" applyNumberFormat="1" applyFont="1" applyFill="1"/>
    <xf numFmtId="0" fontId="6" fillId="0" borderId="0" xfId="0" applyFont="1" applyFill="1"/>
    <xf numFmtId="3" fontId="6" fillId="0" borderId="0" xfId="0" applyNumberFormat="1" applyFont="1" applyFill="1"/>
    <xf numFmtId="3" fontId="6" fillId="2" borderId="0" xfId="0" applyNumberFormat="1" applyFont="1" applyFill="1"/>
    <xf numFmtId="3" fontId="6" fillId="0" borderId="0" xfId="0" applyNumberFormat="1" applyFont="1"/>
    <xf numFmtId="168" fontId="6" fillId="2" borderId="0" xfId="0" applyNumberFormat="1" applyFont="1" applyFill="1"/>
    <xf numFmtId="3" fontId="0" fillId="0" borderId="1" xfId="0" applyNumberFormat="1" applyFill="1" applyBorder="1"/>
    <xf numFmtId="37" fontId="4" fillId="0" borderId="0" xfId="1" applyNumberFormat="1" applyFont="1" applyFill="1"/>
    <xf numFmtId="0" fontId="0" fillId="0" borderId="0" xfId="0" applyFill="1" applyBorder="1"/>
    <xf numFmtId="0" fontId="3" fillId="0" borderId="0" xfId="0" applyFont="1" applyFill="1" applyBorder="1"/>
    <xf numFmtId="166" fontId="0" fillId="0" borderId="0" xfId="2" applyNumberFormat="1" applyFont="1" applyFill="1" applyBorder="1"/>
    <xf numFmtId="0" fontId="5" fillId="0" borderId="0" xfId="0" applyFont="1" applyFill="1" applyBorder="1"/>
    <xf numFmtId="168" fontId="7" fillId="2" borderId="0" xfId="1" applyNumberFormat="1" applyFont="1" applyFill="1"/>
    <xf numFmtId="0" fontId="18" fillId="0" borderId="0" xfId="0" applyFont="1"/>
    <xf numFmtId="0" fontId="19" fillId="0" borderId="0" xfId="0" applyFont="1"/>
    <xf numFmtId="168" fontId="18" fillId="0" borderId="0" xfId="1" applyNumberFormat="1" applyFont="1"/>
    <xf numFmtId="168" fontId="20" fillId="0" borderId="0" xfId="1" applyNumberFormat="1" applyFont="1"/>
    <xf numFmtId="0" fontId="18" fillId="0" borderId="0" xfId="0" applyFont="1" applyAlignment="1">
      <alignment horizontal="right"/>
    </xf>
    <xf numFmtId="0" fontId="19" fillId="0" borderId="0" xfId="0" applyFont="1" applyAlignment="1">
      <alignment horizontal="right"/>
    </xf>
    <xf numFmtId="168" fontId="18" fillId="0" borderId="0" xfId="1" applyNumberFormat="1" applyFont="1" applyAlignment="1">
      <alignment horizontal="right"/>
    </xf>
    <xf numFmtId="168" fontId="20" fillId="0" borderId="0" xfId="1" applyNumberFormat="1" applyFont="1" applyAlignment="1">
      <alignment horizontal="right"/>
    </xf>
    <xf numFmtId="168" fontId="18" fillId="2" borderId="0" xfId="1" applyNumberFormat="1" applyFont="1" applyFill="1" applyAlignment="1">
      <alignment horizontal="right"/>
    </xf>
    <xf numFmtId="168" fontId="21" fillId="0" borderId="0" xfId="1" applyNumberFormat="1" applyFont="1"/>
    <xf numFmtId="166" fontId="18" fillId="0" borderId="0" xfId="2" applyNumberFormat="1" applyFont="1"/>
    <xf numFmtId="0" fontId="21" fillId="0" borderId="0" xfId="0" applyFont="1"/>
    <xf numFmtId="168" fontId="18" fillId="0" borderId="0" xfId="0" applyNumberFormat="1" applyFont="1"/>
    <xf numFmtId="168" fontId="18" fillId="0" borderId="0" xfId="0" applyNumberFormat="1" applyFont="1" applyFill="1"/>
    <xf numFmtId="37" fontId="0" fillId="3" borderId="0" xfId="1" applyNumberFormat="1" applyFont="1" applyFill="1"/>
    <xf numFmtId="0" fontId="2" fillId="2" borderId="0" xfId="0" applyFont="1" applyFill="1"/>
    <xf numFmtId="0" fontId="22" fillId="2" borderId="3" xfId="0" applyFont="1" applyFill="1" applyBorder="1" applyAlignment="1">
      <alignment horizontal="center"/>
    </xf>
    <xf numFmtId="0" fontId="23" fillId="2" borderId="0" xfId="0" applyFont="1" applyFill="1"/>
    <xf numFmtId="168" fontId="14" fillId="0" borderId="0" xfId="1" applyNumberFormat="1" applyFont="1"/>
    <xf numFmtId="0" fontId="2" fillId="0" borderId="0" xfId="0" applyFont="1" applyFill="1"/>
    <xf numFmtId="0" fontId="22" fillId="0" borderId="3" xfId="0" applyFont="1" applyFill="1" applyBorder="1" applyAlignment="1">
      <alignment horizontal="center"/>
    </xf>
    <xf numFmtId="0" fontId="23" fillId="0" borderId="0" xfId="0" applyFont="1" applyFill="1"/>
    <xf numFmtId="166" fontId="23" fillId="0" borderId="2" xfId="2" applyNumberFormat="1" applyFont="1" applyFill="1" applyBorder="1"/>
    <xf numFmtId="168" fontId="23" fillId="0" borderId="2" xfId="1" applyNumberFormat="1" applyFont="1" applyFill="1" applyBorder="1"/>
    <xf numFmtId="168" fontId="24" fillId="0" borderId="0" xfId="1" applyNumberFormat="1" applyFont="1" applyFill="1"/>
    <xf numFmtId="0" fontId="25" fillId="0" borderId="0" xfId="0" applyFont="1" applyFill="1"/>
    <xf numFmtId="168" fontId="25" fillId="0" borderId="2" xfId="1" applyNumberFormat="1" applyFont="1" applyFill="1" applyBorder="1"/>
    <xf numFmtId="168" fontId="25" fillId="0" borderId="0" xfId="1" applyNumberFormat="1" applyFont="1" applyFill="1"/>
    <xf numFmtId="168" fontId="24" fillId="0" borderId="2" xfId="1" applyNumberFormat="1" applyFont="1" applyFill="1" applyBorder="1"/>
    <xf numFmtId="0" fontId="22" fillId="0" borderId="0" xfId="0" applyFont="1" applyFill="1" applyAlignment="1">
      <alignment horizontal="center"/>
    </xf>
    <xf numFmtId="168" fontId="24" fillId="0" borderId="0" xfId="0" applyNumberFormat="1" applyFont="1" applyFill="1"/>
    <xf numFmtId="168" fontId="17" fillId="0" borderId="0" xfId="0" applyNumberFormat="1" applyFont="1" applyFill="1"/>
    <xf numFmtId="169" fontId="0" fillId="0" borderId="1" xfId="0" applyNumberFormat="1" applyFill="1" applyBorder="1"/>
    <xf numFmtId="3" fontId="4" fillId="0" borderId="0" xfId="1" applyNumberFormat="1" applyFont="1" applyFill="1"/>
    <xf numFmtId="168" fontId="18" fillId="0" borderId="0" xfId="1" applyNumberFormat="1" applyFont="1" applyFill="1" applyAlignment="1">
      <alignment horizontal="right"/>
    </xf>
    <xf numFmtId="167" fontId="0" fillId="2" borderId="0" xfId="1" applyNumberFormat="1" applyFont="1" applyFill="1"/>
    <xf numFmtId="167" fontId="0" fillId="0" borderId="0" xfId="1" applyNumberFormat="1" applyFont="1" applyFill="1"/>
    <xf numFmtId="171" fontId="0" fillId="2" borderId="0" xfId="0" applyNumberFormat="1" applyFill="1"/>
    <xf numFmtId="0" fontId="3" fillId="0" borderId="0" xfId="0" applyFont="1" applyFill="1"/>
    <xf numFmtId="168" fontId="6" fillId="0" borderId="0" xfId="1" applyNumberFormat="1" applyFont="1" applyFill="1"/>
    <xf numFmtId="168" fontId="12" fillId="0" borderId="0" xfId="1" applyNumberFormat="1" applyFont="1" applyFill="1"/>
    <xf numFmtId="0" fontId="5" fillId="0" borderId="0" xfId="0" applyFont="1" applyFill="1"/>
    <xf numFmtId="166" fontId="17" fillId="0" borderId="0" xfId="2" applyNumberFormat="1" applyFont="1" applyFill="1" applyBorder="1"/>
    <xf numFmtId="170" fontId="24" fillId="0" borderId="2" xfId="1" applyNumberFormat="1" applyFont="1" applyFill="1" applyBorder="1"/>
    <xf numFmtId="166" fontId="2" fillId="0" borderId="2" xfId="2" applyNumberFormat="1" applyFont="1" applyFill="1" applyBorder="1"/>
    <xf numFmtId="168" fontId="2" fillId="0" borderId="2" xfId="1" applyNumberFormat="1" applyFont="1" applyFill="1" applyBorder="1"/>
    <xf numFmtId="168" fontId="25" fillId="0" borderId="0" xfId="0" applyNumberFormat="1" applyFont="1" applyFill="1"/>
    <xf numFmtId="170" fontId="25" fillId="0" borderId="2" xfId="1" applyNumberFormat="1" applyFont="1" applyFill="1" applyBorder="1"/>
    <xf numFmtId="168" fontId="18" fillId="4" borderId="0" xfId="0" applyNumberFormat="1" applyFont="1" applyFill="1"/>
    <xf numFmtId="168" fontId="17" fillId="2" borderId="0" xfId="1" applyNumberFormat="1" applyFont="1" applyFill="1"/>
    <xf numFmtId="165" fontId="0" fillId="0" borderId="0" xfId="1" applyNumberFormat="1" applyFont="1" applyFill="1"/>
    <xf numFmtId="165" fontId="0" fillId="0" borderId="0" xfId="1" applyNumberFormat="1" applyFont="1" applyFill="1" applyBorder="1" applyAlignment="1">
      <alignment horizontal="right"/>
    </xf>
    <xf numFmtId="165" fontId="0" fillId="0" borderId="1" xfId="1" applyNumberFormat="1" applyFont="1" applyFill="1" applyBorder="1" applyAlignment="1">
      <alignment horizontal="right"/>
    </xf>
    <xf numFmtId="165" fontId="6" fillId="0" borderId="4" xfId="1" applyNumberFormat="1" applyFont="1" applyFill="1" applyBorder="1"/>
    <xf numFmtId="165" fontId="0" fillId="0" borderId="0" xfId="1" applyNumberFormat="1" applyFont="1" applyFill="1" applyAlignment="1">
      <alignment horizontal="right"/>
    </xf>
    <xf numFmtId="0" fontId="4" fillId="0" borderId="0" xfId="0" applyFont="1"/>
    <xf numFmtId="37" fontId="0" fillId="0" borderId="0" xfId="0" applyNumberFormat="1" applyFill="1"/>
    <xf numFmtId="168" fontId="17" fillId="0" borderId="2" xfId="1" applyNumberFormat="1" applyFont="1" applyFill="1" applyBorder="1"/>
    <xf numFmtId="170" fontId="0" fillId="0" borderId="2" xfId="1" applyNumberFormat="1" applyFont="1" applyFill="1" applyBorder="1"/>
    <xf numFmtId="0" fontId="17" fillId="2" borderId="0" xfId="0" applyFont="1" applyFill="1"/>
    <xf numFmtId="168" fontId="17" fillId="0" borderId="0" xfId="1" applyNumberFormat="1" applyFont="1"/>
    <xf numFmtId="168" fontId="2" fillId="2" borderId="0" xfId="1" applyNumberFormat="1" applyFont="1" applyFill="1"/>
    <xf numFmtId="0" fontId="0" fillId="5" borderId="0" xfId="0" applyFill="1"/>
    <xf numFmtId="0" fontId="16" fillId="5" borderId="3" xfId="0" applyFont="1" applyFill="1" applyBorder="1" applyAlignment="1">
      <alignment horizontal="center"/>
    </xf>
    <xf numFmtId="168" fontId="0" fillId="5" borderId="0" xfId="1" applyNumberFormat="1" applyFont="1" applyFill="1"/>
    <xf numFmtId="168" fontId="0" fillId="5" borderId="1" xfId="1" applyNumberFormat="1" applyFont="1" applyFill="1" applyBorder="1"/>
    <xf numFmtId="168" fontId="5" fillId="5" borderId="0" xfId="1" applyNumberFormat="1" applyFont="1" applyFill="1"/>
    <xf numFmtId="166" fontId="0" fillId="5" borderId="1" xfId="2" applyNumberFormat="1" applyFont="1" applyFill="1" applyBorder="1"/>
    <xf numFmtId="168" fontId="7" fillId="5" borderId="4" xfId="1" applyNumberFormat="1" applyFont="1" applyFill="1" applyBorder="1"/>
    <xf numFmtId="168" fontId="0" fillId="5" borderId="0" xfId="1" applyNumberFormat="1" applyFont="1" applyFill="1" applyAlignment="1">
      <alignment horizontal="right"/>
    </xf>
    <xf numFmtId="168" fontId="0" fillId="5" borderId="0" xfId="0" applyNumberFormat="1" applyFill="1"/>
    <xf numFmtId="168" fontId="0" fillId="5" borderId="1" xfId="1" applyNumberFormat="1" applyFont="1" applyFill="1" applyBorder="1" applyAlignment="1">
      <alignment horizontal="right"/>
    </xf>
    <xf numFmtId="168" fontId="14" fillId="5" borderId="5" xfId="0" applyNumberFormat="1" applyFont="1" applyFill="1" applyBorder="1"/>
    <xf numFmtId="168" fontId="7" fillId="5" borderId="8" xfId="0" applyNumberFormat="1" applyFont="1" applyFill="1" applyBorder="1"/>
    <xf numFmtId="0" fontId="0" fillId="5" borderId="1" xfId="0" applyFill="1" applyBorder="1"/>
    <xf numFmtId="168" fontId="7" fillId="5" borderId="0" xfId="1" applyNumberFormat="1" applyFont="1" applyFill="1"/>
    <xf numFmtId="168" fontId="7" fillId="5" borderId="0" xfId="1" applyNumberFormat="1" applyFont="1" applyFill="1" applyBorder="1"/>
    <xf numFmtId="168" fontId="7" fillId="5" borderId="4" xfId="0" applyNumberFormat="1" applyFont="1" applyFill="1" applyBorder="1"/>
    <xf numFmtId="168" fontId="0" fillId="5" borderId="1" xfId="0" applyNumberFormat="1" applyFill="1" applyBorder="1"/>
    <xf numFmtId="168" fontId="6" fillId="5" borderId="5" xfId="0" applyNumberFormat="1" applyFont="1" applyFill="1" applyBorder="1"/>
    <xf numFmtId="168" fontId="0" fillId="5" borderId="5" xfId="0" applyNumberFormat="1" applyFill="1" applyBorder="1"/>
    <xf numFmtId="0" fontId="2" fillId="5" borderId="0" xfId="0" applyFont="1" applyFill="1"/>
    <xf numFmtId="0" fontId="26" fillId="5" borderId="3" xfId="0" applyFont="1" applyFill="1" applyBorder="1" applyAlignment="1">
      <alignment horizontal="center"/>
    </xf>
    <xf numFmtId="0" fontId="23" fillId="5" borderId="0" xfId="0" applyFont="1" applyFill="1"/>
    <xf numFmtId="168" fontId="3" fillId="5" borderId="5" xfId="0" applyNumberFormat="1" applyFont="1" applyFill="1" applyBorder="1"/>
    <xf numFmtId="168" fontId="5" fillId="5" borderId="4" xfId="1" applyNumberFormat="1" applyFont="1" applyFill="1" applyBorder="1"/>
    <xf numFmtId="167" fontId="0" fillId="5" borderId="0" xfId="1" applyNumberFormat="1" applyFont="1" applyFill="1"/>
    <xf numFmtId="168" fontId="6" fillId="5" borderId="4" xfId="0" applyNumberFormat="1" applyFont="1" applyFill="1" applyBorder="1"/>
    <xf numFmtId="168" fontId="3" fillId="5" borderId="3" xfId="1" applyNumberFormat="1" applyFont="1" applyFill="1" applyBorder="1" applyAlignment="1">
      <alignment horizontal="center"/>
    </xf>
    <xf numFmtId="168" fontId="5" fillId="5" borderId="0" xfId="1" applyNumberFormat="1" applyFont="1" applyFill="1" applyBorder="1"/>
    <xf numFmtId="168" fontId="4" fillId="5" borderId="0" xfId="1" applyNumberFormat="1" applyFont="1" applyFill="1"/>
    <xf numFmtId="3" fontId="6" fillId="5" borderId="0" xfId="0" applyNumberFormat="1" applyFont="1" applyFill="1"/>
    <xf numFmtId="3" fontId="0" fillId="5" borderId="0" xfId="0" applyNumberFormat="1" applyFill="1"/>
    <xf numFmtId="168" fontId="6" fillId="5" borderId="0" xfId="0" applyNumberFormat="1" applyFont="1" applyFill="1"/>
    <xf numFmtId="168" fontId="6" fillId="5" borderId="5" xfId="1" applyNumberFormat="1" applyFont="1" applyFill="1" applyBorder="1"/>
    <xf numFmtId="168" fontId="0" fillId="5" borderId="0" xfId="1" applyNumberFormat="1" applyFont="1" applyFill="1" applyBorder="1"/>
    <xf numFmtId="3" fontId="0" fillId="5" borderId="1" xfId="0" applyNumberFormat="1" applyFill="1" applyBorder="1"/>
    <xf numFmtId="168" fontId="5" fillId="5" borderId="0" xfId="0" applyNumberFormat="1" applyFont="1" applyFill="1"/>
    <xf numFmtId="49" fontId="16" fillId="5" borderId="3" xfId="0" applyNumberFormat="1" applyFont="1" applyFill="1" applyBorder="1" applyAlignment="1">
      <alignment horizontal="center"/>
    </xf>
    <xf numFmtId="168" fontId="0" fillId="5" borderId="0" xfId="1" quotePrefix="1" applyNumberFormat="1" applyFont="1" applyFill="1"/>
    <xf numFmtId="171" fontId="0" fillId="5" borderId="0" xfId="0" applyNumberFormat="1" applyFill="1"/>
    <xf numFmtId="168" fontId="0" fillId="5" borderId="0" xfId="1" applyNumberFormat="1" applyFont="1" applyFill="1" applyBorder="1" applyAlignment="1">
      <alignment horizontal="right"/>
    </xf>
    <xf numFmtId="168" fontId="6" fillId="5" borderId="4" xfId="1" applyNumberFormat="1" applyFont="1" applyFill="1" applyBorder="1"/>
    <xf numFmtId="3" fontId="4" fillId="5" borderId="0" xfId="1" applyNumberFormat="1" applyFont="1" applyFill="1"/>
    <xf numFmtId="168" fontId="4" fillId="5" borderId="1" xfId="1" applyNumberFormat="1" applyFont="1" applyFill="1" applyBorder="1"/>
    <xf numFmtId="168" fontId="0" fillId="5" borderId="5" xfId="1" applyNumberFormat="1" applyFont="1" applyFill="1" applyBorder="1"/>
    <xf numFmtId="37" fontId="0" fillId="5" borderId="0" xfId="1" applyNumberFormat="1" applyFont="1" applyFill="1"/>
    <xf numFmtId="168" fontId="6" fillId="5" borderId="0" xfId="1" applyNumberFormat="1" applyFont="1" applyFill="1" applyBorder="1"/>
    <xf numFmtId="37" fontId="4" fillId="5" borderId="0" xfId="1" applyNumberFormat="1" applyFont="1" applyFill="1"/>
    <xf numFmtId="168" fontId="12" fillId="5" borderId="5" xfId="1" applyNumberFormat="1" applyFont="1" applyFill="1" applyBorder="1"/>
    <xf numFmtId="0" fontId="3" fillId="0" borderId="0" xfId="0" applyFont="1" applyAlignment="1">
      <alignment horizontal="right"/>
    </xf>
    <xf numFmtId="9" fontId="0" fillId="0" borderId="0" xfId="2" applyFont="1" applyFill="1"/>
    <xf numFmtId="9" fontId="0" fillId="0" borderId="5" xfId="2" applyFont="1" applyBorder="1"/>
    <xf numFmtId="0" fontId="29" fillId="0" borderId="0" xfId="0" applyFont="1"/>
    <xf numFmtId="168" fontId="0" fillId="0" borderId="0" xfId="0" applyNumberFormat="1" applyFill="1" applyBorder="1"/>
    <xf numFmtId="9" fontId="0" fillId="0" borderId="0" xfId="2" applyFont="1" applyFill="1" applyBorder="1"/>
    <xf numFmtId="9" fontId="0" fillId="0" borderId="5" xfId="2" applyFont="1" applyFill="1" applyBorder="1"/>
    <xf numFmtId="0" fontId="16" fillId="0" borderId="0" xfId="0" quotePrefix="1" applyFont="1"/>
    <xf numFmtId="0" fontId="16" fillId="0" borderId="0" xfId="0" applyFont="1"/>
    <xf numFmtId="3" fontId="23" fillId="0" borderId="2" xfId="1" applyNumberFormat="1" applyFont="1" applyFill="1" applyBorder="1"/>
    <xf numFmtId="0" fontId="17" fillId="0" borderId="0" xfId="0" applyFont="1" applyFill="1"/>
    <xf numFmtId="168" fontId="2" fillId="0" borderId="0" xfId="1" applyNumberFormat="1" applyFont="1"/>
    <xf numFmtId="3" fontId="0" fillId="2" borderId="1" xfId="0" applyNumberFormat="1" applyFill="1" applyBorder="1"/>
    <xf numFmtId="165" fontId="5" fillId="0" borderId="0" xfId="1" applyNumberFormat="1" applyFont="1" applyFill="1"/>
    <xf numFmtId="168" fontId="0" fillId="6" borderId="0" xfId="1" applyNumberFormat="1" applyFont="1" applyFill="1"/>
    <xf numFmtId="168" fontId="24" fillId="6" borderId="0" xfId="1" applyNumberFormat="1" applyFont="1" applyFill="1"/>
    <xf numFmtId="168" fontId="24" fillId="6" borderId="0" xfId="0" applyNumberFormat="1" applyFont="1" applyFill="1"/>
    <xf numFmtId="168" fontId="2" fillId="0" borderId="0" xfId="1" applyNumberFormat="1" applyFont="1" applyFill="1"/>
    <xf numFmtId="168" fontId="2" fillId="5" borderId="0" xfId="1" applyNumberFormat="1" applyFont="1" applyFill="1"/>
    <xf numFmtId="168" fontId="31" fillId="6" borderId="0" xfId="1" applyNumberFormat="1" applyFont="1" applyFill="1"/>
    <xf numFmtId="165" fontId="0" fillId="6" borderId="0" xfId="1" applyNumberFormat="1" applyFont="1" applyFill="1"/>
    <xf numFmtId="168" fontId="4" fillId="6" borderId="0" xfId="1" applyNumberFormat="1" applyFont="1" applyFill="1"/>
    <xf numFmtId="168" fontId="5" fillId="6" borderId="0" xfId="1" applyNumberFormat="1" applyFont="1" applyFill="1"/>
    <xf numFmtId="0" fontId="4" fillId="0" borderId="0" xfId="0" applyFont="1" applyFill="1"/>
    <xf numFmtId="0" fontId="0" fillId="7" borderId="0" xfId="0" applyFill="1"/>
    <xf numFmtId="0" fontId="2" fillId="7" borderId="0" xfId="0" applyFont="1" applyFill="1"/>
    <xf numFmtId="168" fontId="2" fillId="7" borderId="2" xfId="1" applyNumberFormat="1" applyFont="1" applyFill="1" applyBorder="1"/>
    <xf numFmtId="0" fontId="3" fillId="7" borderId="3" xfId="0" applyFont="1" applyFill="1" applyBorder="1" applyAlignment="1">
      <alignment horizontal="center"/>
    </xf>
    <xf numFmtId="0" fontId="38" fillId="0" borderId="0" xfId="0" applyFont="1"/>
    <xf numFmtId="0" fontId="39" fillId="2" borderId="0" xfId="0" applyFont="1" applyFill="1" applyAlignment="1">
      <alignment horizontal="center"/>
    </xf>
    <xf numFmtId="0" fontId="39" fillId="5" borderId="0" xfId="0" applyFont="1" applyFill="1" applyAlignment="1">
      <alignment horizontal="center"/>
    </xf>
    <xf numFmtId="0" fontId="4" fillId="2" borderId="0" xfId="0" applyFont="1" applyFill="1"/>
    <xf numFmtId="168" fontId="18" fillId="0" borderId="0" xfId="1" applyNumberFormat="1" applyFont="1" applyFill="1"/>
    <xf numFmtId="168" fontId="37" fillId="0" borderId="0" xfId="0" applyNumberFormat="1" applyFont="1" applyFill="1"/>
    <xf numFmtId="0" fontId="17" fillId="0" borderId="0" xfId="0" applyFont="1"/>
    <xf numFmtId="168" fontId="14" fillId="8" borderId="0" xfId="1" applyNumberFormat="1" applyFont="1" applyFill="1"/>
    <xf numFmtId="0" fontId="0" fillId="0" borderId="0" xfId="0" applyAlignment="1">
      <alignment wrapText="1"/>
    </xf>
    <xf numFmtId="166" fontId="4" fillId="0" borderId="2" xfId="2" applyNumberFormat="1" applyFont="1" applyFill="1" applyBorder="1"/>
    <xf numFmtId="0" fontId="4" fillId="7" borderId="0" xfId="0" applyFont="1" applyFill="1"/>
    <xf numFmtId="168" fontId="5" fillId="7" borderId="0" xfId="1" applyNumberFormat="1" applyFont="1" applyFill="1"/>
    <xf numFmtId="0" fontId="3" fillId="7" borderId="0" xfId="0" applyFont="1" applyFill="1" applyAlignment="1">
      <alignment horizontal="center"/>
    </xf>
    <xf numFmtId="168" fontId="4" fillId="0" borderId="0" xfId="0" applyNumberFormat="1" applyFont="1" applyFill="1"/>
    <xf numFmtId="0" fontId="39" fillId="7" borderId="0" xfId="0" applyFont="1" applyFill="1" applyAlignment="1">
      <alignment horizontal="center"/>
    </xf>
    <xf numFmtId="0" fontId="0" fillId="9" borderId="0" xfId="0" applyFill="1"/>
    <xf numFmtId="0" fontId="39" fillId="9" borderId="0" xfId="0" applyFont="1" applyFill="1" applyAlignment="1">
      <alignment horizontal="center"/>
    </xf>
    <xf numFmtId="0" fontId="16" fillId="9" borderId="3" xfId="0" applyFont="1" applyFill="1" applyBorder="1" applyAlignment="1">
      <alignment horizontal="center"/>
    </xf>
    <xf numFmtId="0" fontId="4" fillId="9" borderId="0" xfId="0" applyFont="1" applyFill="1"/>
    <xf numFmtId="0" fontId="2" fillId="9" borderId="0" xfId="0" applyFont="1" applyFill="1"/>
    <xf numFmtId="168" fontId="2" fillId="9" borderId="2" xfId="1" applyNumberFormat="1" applyFont="1" applyFill="1" applyBorder="1"/>
    <xf numFmtId="168" fontId="5" fillId="9" borderId="0" xfId="1" applyNumberFormat="1" applyFont="1" applyFill="1"/>
    <xf numFmtId="0" fontId="3" fillId="9" borderId="0" xfId="0" applyFont="1" applyFill="1" applyAlignment="1">
      <alignment horizontal="center"/>
    </xf>
    <xf numFmtId="168" fontId="3" fillId="0" borderId="5" xfId="1" applyNumberFormat="1" applyFont="1" applyFill="1" applyBorder="1"/>
    <xf numFmtId="0" fontId="2" fillId="0" borderId="0" xfId="0" applyFont="1"/>
    <xf numFmtId="171" fontId="4" fillId="0" borderId="0" xfId="1" applyNumberFormat="1" applyFont="1" applyFill="1"/>
    <xf numFmtId="171" fontId="5" fillId="0" borderId="4" xfId="1" applyNumberFormat="1" applyFont="1" applyFill="1" applyBorder="1"/>
    <xf numFmtId="17" fontId="3" fillId="0" borderId="0" xfId="0" quotePrefix="1" applyNumberFormat="1" applyFont="1" applyFill="1" applyAlignment="1">
      <alignment horizontal="right"/>
    </xf>
    <xf numFmtId="0" fontId="3" fillId="0" borderId="0" xfId="0" applyFont="1" applyFill="1" applyAlignment="1">
      <alignment horizontal="right"/>
    </xf>
    <xf numFmtId="0" fontId="39" fillId="10" borderId="0" xfId="0" applyFont="1" applyFill="1" applyAlignment="1">
      <alignment horizontal="center"/>
    </xf>
    <xf numFmtId="0" fontId="0" fillId="10" borderId="0" xfId="0" applyFill="1"/>
    <xf numFmtId="0" fontId="39" fillId="0" borderId="0" xfId="0" applyFont="1" applyFill="1" applyAlignment="1">
      <alignment horizontal="center"/>
    </xf>
    <xf numFmtId="171" fontId="5" fillId="0" borderId="0" xfId="1" applyNumberFormat="1" applyFont="1" applyFill="1"/>
    <xf numFmtId="170" fontId="4" fillId="0" borderId="2" xfId="1" applyNumberFormat="1" applyFont="1" applyFill="1" applyBorder="1"/>
    <xf numFmtId="0" fontId="3" fillId="10" borderId="3" xfId="0" applyFont="1" applyFill="1" applyBorder="1" applyAlignment="1">
      <alignment horizontal="center"/>
    </xf>
    <xf numFmtId="168" fontId="5" fillId="10" borderId="0" xfId="1" applyNumberFormat="1" applyFont="1" applyFill="1"/>
    <xf numFmtId="168" fontId="4" fillId="10" borderId="0" xfId="1" applyNumberFormat="1" applyFont="1" applyFill="1"/>
    <xf numFmtId="168" fontId="0" fillId="10" borderId="0" xfId="1" applyNumberFormat="1" applyFont="1" applyFill="1"/>
    <xf numFmtId="168" fontId="0" fillId="10" borderId="1" xfId="1" applyNumberFormat="1" applyFont="1" applyFill="1" applyBorder="1"/>
    <xf numFmtId="168" fontId="7" fillId="10" borderId="4" xfId="1" applyNumberFormat="1" applyFont="1" applyFill="1" applyBorder="1"/>
    <xf numFmtId="168" fontId="0" fillId="10" borderId="0" xfId="1" applyNumberFormat="1" applyFont="1" applyFill="1" applyAlignment="1">
      <alignment horizontal="right"/>
    </xf>
    <xf numFmtId="168" fontId="0" fillId="10" borderId="0" xfId="0" applyNumberFormat="1" applyFill="1"/>
    <xf numFmtId="168" fontId="0" fillId="10" borderId="1" xfId="1" applyNumberFormat="1" applyFont="1" applyFill="1" applyBorder="1" applyAlignment="1">
      <alignment horizontal="right"/>
    </xf>
    <xf numFmtId="168" fontId="7" fillId="10" borderId="8" xfId="0" applyNumberFormat="1" applyFont="1" applyFill="1" applyBorder="1"/>
    <xf numFmtId="0" fontId="0" fillId="10" borderId="1" xfId="0" applyFill="1" applyBorder="1"/>
    <xf numFmtId="168" fontId="7" fillId="10" borderId="0" xfId="1" applyNumberFormat="1" applyFont="1" applyFill="1"/>
    <xf numFmtId="168" fontId="7" fillId="10" borderId="0" xfId="1" applyNumberFormat="1" applyFont="1" applyFill="1" applyBorder="1"/>
    <xf numFmtId="168" fontId="7" fillId="10" borderId="4" xfId="0" applyNumberFormat="1" applyFont="1" applyFill="1" applyBorder="1"/>
    <xf numFmtId="168" fontId="0" fillId="10" borderId="1" xfId="0" applyNumberFormat="1" applyFill="1" applyBorder="1"/>
    <xf numFmtId="168" fontId="6" fillId="10" borderId="5" xfId="0" applyNumberFormat="1" applyFont="1" applyFill="1" applyBorder="1"/>
    <xf numFmtId="168" fontId="0" fillId="10" borderId="5" xfId="0" applyNumberFormat="1" applyFill="1" applyBorder="1"/>
    <xf numFmtId="168" fontId="3" fillId="10" borderId="5" xfId="0" applyNumberFormat="1" applyFont="1" applyFill="1" applyBorder="1"/>
    <xf numFmtId="168" fontId="32" fillId="0" borderId="0" xfId="1" applyNumberFormat="1" applyFont="1" applyFill="1"/>
    <xf numFmtId="168" fontId="5" fillId="10" borderId="4" xfId="1" applyNumberFormat="1" applyFont="1" applyFill="1" applyBorder="1"/>
    <xf numFmtId="167" fontId="0" fillId="10" borderId="0" xfId="1" applyNumberFormat="1" applyFont="1" applyFill="1"/>
    <xf numFmtId="168" fontId="6" fillId="10" borderId="4" xfId="0" applyNumberFormat="1" applyFont="1" applyFill="1" applyBorder="1"/>
    <xf numFmtId="168" fontId="40" fillId="0" borderId="0" xfId="0" applyNumberFormat="1" applyFont="1" applyFill="1"/>
    <xf numFmtId="168" fontId="2" fillId="0" borderId="0" xfId="0" applyNumberFormat="1" applyFont="1" applyFill="1"/>
    <xf numFmtId="168" fontId="6" fillId="10" borderId="5" xfId="1" applyNumberFormat="1" applyFont="1" applyFill="1" applyBorder="1"/>
    <xf numFmtId="168" fontId="0" fillId="10" borderId="0" xfId="1" applyNumberFormat="1" applyFont="1" applyFill="1" applyBorder="1"/>
    <xf numFmtId="3" fontId="0" fillId="10" borderId="1" xfId="0" applyNumberFormat="1" applyFill="1" applyBorder="1"/>
    <xf numFmtId="168" fontId="5" fillId="10" borderId="0" xfId="0" applyNumberFormat="1" applyFont="1" applyFill="1"/>
    <xf numFmtId="49" fontId="3" fillId="10" borderId="3" xfId="0" applyNumberFormat="1" applyFont="1" applyFill="1" applyBorder="1" applyAlignment="1">
      <alignment horizontal="center"/>
    </xf>
    <xf numFmtId="168" fontId="0" fillId="10" borderId="0" xfId="1" quotePrefix="1" applyNumberFormat="1" applyFont="1" applyFill="1"/>
    <xf numFmtId="171" fontId="0" fillId="10" borderId="0" xfId="0" applyNumberFormat="1" applyFill="1"/>
    <xf numFmtId="172" fontId="14" fillId="0" borderId="5" xfId="0" applyNumberFormat="1" applyFont="1" applyFill="1" applyBorder="1"/>
    <xf numFmtId="168" fontId="0" fillId="10" borderId="0" xfId="1" applyNumberFormat="1" applyFont="1" applyFill="1" applyBorder="1" applyAlignment="1">
      <alignment horizontal="right"/>
    </xf>
    <xf numFmtId="168" fontId="6" fillId="10" borderId="4" xfId="1" applyNumberFormat="1" applyFont="1" applyFill="1" applyBorder="1"/>
    <xf numFmtId="168" fontId="4" fillId="10" borderId="1" xfId="1" applyNumberFormat="1" applyFont="1" applyFill="1" applyBorder="1"/>
    <xf numFmtId="168" fontId="0" fillId="10" borderId="5" xfId="1" applyNumberFormat="1" applyFont="1" applyFill="1" applyBorder="1"/>
    <xf numFmtId="37" fontId="0" fillId="10" borderId="0" xfId="1" applyNumberFormat="1" applyFont="1" applyFill="1"/>
    <xf numFmtId="168" fontId="6" fillId="10" borderId="0" xfId="1" applyNumberFormat="1" applyFont="1" applyFill="1" applyBorder="1"/>
    <xf numFmtId="168" fontId="12" fillId="10" borderId="5" xfId="1" applyNumberFormat="1" applyFont="1" applyFill="1" applyBorder="1"/>
    <xf numFmtId="168" fontId="14" fillId="0" borderId="0" xfId="1" applyNumberFormat="1" applyFont="1" applyFill="1"/>
    <xf numFmtId="168" fontId="3" fillId="0" borderId="0" xfId="0" applyNumberFormat="1" applyFont="1" applyFill="1"/>
    <xf numFmtId="0" fontId="42" fillId="7" borderId="0" xfId="0" applyFont="1" applyFill="1"/>
    <xf numFmtId="0" fontId="42" fillId="9" borderId="0" xfId="0" applyFont="1" applyFill="1"/>
    <xf numFmtId="168" fontId="45" fillId="10" borderId="0" xfId="0" applyNumberFormat="1" applyFont="1" applyFill="1"/>
    <xf numFmtId="168" fontId="45" fillId="2" borderId="0" xfId="0" applyNumberFormat="1" applyFont="1" applyFill="1"/>
    <xf numFmtId="168" fontId="45" fillId="5" borderId="0" xfId="0" applyNumberFormat="1" applyFont="1" applyFill="1"/>
    <xf numFmtId="168" fontId="45" fillId="0" borderId="0" xfId="0" applyNumberFormat="1" applyFont="1" applyFill="1"/>
    <xf numFmtId="0" fontId="44" fillId="0" borderId="0" xfId="0" applyFont="1"/>
    <xf numFmtId="0" fontId="0" fillId="12" borderId="0" xfId="0" applyFill="1"/>
    <xf numFmtId="168" fontId="0" fillId="12" borderId="0" xfId="0" applyNumberFormat="1" applyFill="1"/>
    <xf numFmtId="0" fontId="2" fillId="0" borderId="0" xfId="0" applyFont="1" applyAlignment="1">
      <alignment horizontal="center"/>
    </xf>
    <xf numFmtId="168" fontId="44" fillId="0" borderId="0" xfId="1" applyNumberFormat="1" applyFont="1"/>
    <xf numFmtId="168" fontId="44" fillId="2" borderId="0" xfId="1" applyNumberFormat="1" applyFont="1" applyFill="1"/>
    <xf numFmtId="0" fontId="44" fillId="2" borderId="0" xfId="0" applyFont="1" applyFill="1"/>
    <xf numFmtId="168" fontId="44" fillId="2" borderId="0" xfId="0" applyNumberFormat="1" applyFont="1" applyFill="1"/>
    <xf numFmtId="168" fontId="0" fillId="13" borderId="0" xfId="1" applyNumberFormat="1" applyFont="1" applyFill="1"/>
    <xf numFmtId="0" fontId="0" fillId="13" borderId="0" xfId="0" applyFill="1"/>
    <xf numFmtId="168" fontId="0" fillId="13" borderId="0" xfId="0" applyNumberFormat="1" applyFill="1"/>
    <xf numFmtId="168" fontId="40" fillId="13" borderId="0" xfId="0" applyNumberFormat="1" applyFont="1" applyFill="1"/>
    <xf numFmtId="168" fontId="18" fillId="13" borderId="0" xfId="1" applyNumberFormat="1" applyFont="1" applyFill="1" applyAlignment="1">
      <alignment horizontal="right"/>
    </xf>
    <xf numFmtId="166" fontId="2" fillId="0" borderId="0" xfId="2" applyNumberFormat="1" applyFont="1"/>
    <xf numFmtId="168" fontId="47" fillId="2" borderId="0" xfId="0" applyNumberFormat="1" applyFont="1" applyFill="1"/>
    <xf numFmtId="168" fontId="2" fillId="2" borderId="0" xfId="0" applyNumberFormat="1" applyFont="1" applyFill="1"/>
    <xf numFmtId="168" fontId="37" fillId="13" borderId="0" xfId="0" applyNumberFormat="1" applyFont="1" applyFill="1"/>
    <xf numFmtId="166" fontId="37" fillId="0" borderId="1" xfId="2" applyNumberFormat="1" applyFont="1" applyFill="1" applyBorder="1"/>
    <xf numFmtId="168" fontId="41" fillId="2" borderId="0" xfId="0" applyNumberFormat="1" applyFont="1" applyFill="1"/>
    <xf numFmtId="168" fontId="41" fillId="5" borderId="0" xfId="0" applyNumberFormat="1" applyFont="1" applyFill="1"/>
    <xf numFmtId="168" fontId="41" fillId="0" borderId="0" xfId="0" applyNumberFormat="1" applyFont="1" applyFill="1"/>
    <xf numFmtId="168" fontId="3" fillId="0" borderId="10" xfId="1" applyNumberFormat="1" applyFont="1" applyFill="1" applyBorder="1"/>
    <xf numFmtId="168" fontId="3" fillId="0" borderId="20" xfId="0" applyNumberFormat="1" applyFont="1" applyFill="1" applyBorder="1"/>
    <xf numFmtId="168" fontId="3" fillId="0" borderId="4" xfId="0" applyNumberFormat="1" applyFont="1" applyFill="1" applyBorder="1"/>
    <xf numFmtId="168" fontId="3" fillId="0" borderId="9" xfId="0" applyNumberFormat="1" applyFont="1" applyFill="1" applyBorder="1"/>
    <xf numFmtId="1" fontId="3" fillId="0" borderId="0" xfId="44" applyNumberFormat="1" applyFont="1" applyAlignment="1">
      <alignment horizontal="left"/>
    </xf>
    <xf numFmtId="3" fontId="2" fillId="10" borderId="0" xfId="44" applyNumberFormat="1" applyFill="1"/>
    <xf numFmtId="168" fontId="30" fillId="0" borderId="0" xfId="1" applyNumberFormat="1" applyFont="1" applyFill="1"/>
    <xf numFmtId="3" fontId="2" fillId="0" borderId="0" xfId="44" applyNumberFormat="1" applyFill="1"/>
    <xf numFmtId="3" fontId="2" fillId="0" borderId="0" xfId="44" applyNumberFormat="1"/>
    <xf numFmtId="173" fontId="2" fillId="0" borderId="0" xfId="44" applyNumberFormat="1"/>
    <xf numFmtId="168" fontId="34" fillId="0" borderId="0" xfId="1" applyNumberFormat="1" applyFont="1" applyFill="1"/>
    <xf numFmtId="3" fontId="3" fillId="10" borderId="0" xfId="44" applyNumberFormat="1" applyFont="1" applyFill="1" applyAlignment="1">
      <alignment horizontal="center"/>
    </xf>
    <xf numFmtId="1" fontId="2" fillId="0" borderId="0" xfId="44" applyNumberFormat="1" applyFont="1" applyAlignment="1">
      <alignment horizontal="left"/>
    </xf>
    <xf numFmtId="3" fontId="2" fillId="0" borderId="0" xfId="44" applyNumberFormat="1" applyFont="1" applyFill="1"/>
    <xf numFmtId="1" fontId="49" fillId="0" borderId="1" xfId="44" applyNumberFormat="1" applyFont="1" applyBorder="1" applyAlignment="1">
      <alignment horizontal="center"/>
    </xf>
    <xf numFmtId="3" fontId="3" fillId="0" borderId="0" xfId="44" applyNumberFormat="1" applyFont="1" applyFill="1" applyAlignment="1">
      <alignment horizontal="center"/>
    </xf>
    <xf numFmtId="3" fontId="66" fillId="10" borderId="0" xfId="44" applyNumberFormat="1" applyFont="1" applyFill="1"/>
    <xf numFmtId="173" fontId="2" fillId="0" borderId="0" xfId="44" applyNumberFormat="1" applyFont="1" applyFill="1"/>
    <xf numFmtId="1" fontId="3" fillId="10" borderId="1" xfId="44" applyNumberFormat="1" applyFont="1" applyFill="1" applyBorder="1" applyAlignment="1">
      <alignment horizontal="center"/>
    </xf>
    <xf numFmtId="3" fontId="3" fillId="0" borderId="0" xfId="44" applyNumberFormat="1" applyFont="1" applyAlignment="1">
      <alignment horizontal="center"/>
    </xf>
    <xf numFmtId="3" fontId="44" fillId="10" borderId="0" xfId="44" applyNumberFormat="1" applyFont="1" applyFill="1"/>
    <xf numFmtId="1" fontId="2" fillId="0" borderId="0" xfId="44" applyNumberFormat="1" applyFill="1" applyAlignment="1">
      <alignment horizontal="left"/>
    </xf>
    <xf numFmtId="1" fontId="3" fillId="0" borderId="1" xfId="44" applyNumberFormat="1" applyFont="1" applyFill="1" applyBorder="1" applyAlignment="1">
      <alignment horizontal="center"/>
    </xf>
    <xf numFmtId="173" fontId="3" fillId="0" borderId="0" xfId="44" applyNumberFormat="1" applyFont="1" applyAlignment="1">
      <alignment horizontal="center"/>
    </xf>
    <xf numFmtId="173" fontId="2" fillId="10" borderId="0" xfId="44" applyNumberFormat="1" applyFill="1"/>
    <xf numFmtId="173" fontId="2" fillId="0" borderId="0" xfId="44" applyNumberFormat="1" applyFont="1"/>
    <xf numFmtId="174" fontId="3" fillId="0" borderId="1" xfId="44" applyNumberFormat="1" applyFont="1" applyBorder="1" applyAlignment="1">
      <alignment horizontal="center"/>
    </xf>
    <xf numFmtId="1" fontId="3" fillId="0" borderId="0" xfId="44" applyNumberFormat="1" applyFont="1" applyAlignment="1">
      <alignment horizontal="center"/>
    </xf>
    <xf numFmtId="173" fontId="2" fillId="14" borderId="0" xfId="44" applyNumberFormat="1" applyFill="1"/>
    <xf numFmtId="173" fontId="2" fillId="0" borderId="0" xfId="44" applyNumberFormat="1" applyFill="1"/>
    <xf numFmtId="173" fontId="3" fillId="0" borderId="1" xfId="44" applyNumberFormat="1" applyFont="1" applyBorder="1" applyAlignment="1">
      <alignment horizontal="center"/>
    </xf>
    <xf numFmtId="1" fontId="2" fillId="0" borderId="0" xfId="44" applyNumberFormat="1" applyAlignment="1">
      <alignment horizontal="left"/>
    </xf>
    <xf numFmtId="1" fontId="2" fillId="10" borderId="0" xfId="44" applyNumberFormat="1" applyFill="1" applyAlignment="1">
      <alignment horizontal="left"/>
    </xf>
    <xf numFmtId="1" fontId="3" fillId="0" borderId="1" xfId="44" applyNumberFormat="1" applyFont="1" applyBorder="1" applyAlignment="1">
      <alignment horizontal="center"/>
    </xf>
    <xf numFmtId="0" fontId="67" fillId="0" borderId="0" xfId="46"/>
    <xf numFmtId="0" fontId="68" fillId="0" borderId="0" xfId="46" applyFont="1"/>
    <xf numFmtId="0" fontId="68" fillId="0" borderId="0" xfId="46" applyFont="1" applyAlignment="1">
      <alignment horizontal="center"/>
    </xf>
    <xf numFmtId="0" fontId="67" fillId="0" borderId="0" xfId="46" quotePrefix="1" applyAlignment="1"/>
    <xf numFmtId="0" fontId="67" fillId="0" borderId="0" xfId="46" applyAlignment="1"/>
    <xf numFmtId="0" fontId="67" fillId="0" borderId="0" xfId="46" applyFill="1"/>
    <xf numFmtId="168" fontId="67" fillId="0" borderId="0" xfId="47" applyNumberFormat="1" applyFont="1" applyFill="1"/>
    <xf numFmtId="16" fontId="67" fillId="0" borderId="0" xfId="46" applyNumberFormat="1"/>
    <xf numFmtId="168" fontId="67" fillId="0" borderId="0" xfId="47" applyNumberFormat="1" applyFont="1"/>
    <xf numFmtId="0" fontId="67" fillId="0" borderId="0" xfId="46" applyAlignment="1">
      <alignment horizontal="center"/>
    </xf>
    <xf numFmtId="168" fontId="67" fillId="0" borderId="1" xfId="47" applyNumberFormat="1" applyFont="1" applyFill="1" applyBorder="1"/>
    <xf numFmtId="10" fontId="67" fillId="0" borderId="0" xfId="2" applyNumberFormat="1" applyFont="1" applyFill="1"/>
    <xf numFmtId="168" fontId="67" fillId="0" borderId="0" xfId="47" applyNumberFormat="1" applyFont="1" applyAlignment="1">
      <alignment horizontal="center"/>
    </xf>
    <xf numFmtId="0" fontId="16" fillId="0" borderId="0" xfId="0" quotePrefix="1" applyFont="1" applyFill="1"/>
    <xf numFmtId="0" fontId="2" fillId="0" borderId="0" xfId="0" applyFont="1" applyFill="1" applyAlignment="1"/>
    <xf numFmtId="0" fontId="0" fillId="0" borderId="0" xfId="0" applyFill="1" applyAlignment="1"/>
    <xf numFmtId="0" fontId="2" fillId="46" borderId="0" xfId="0" applyFont="1" applyFill="1"/>
    <xf numFmtId="0" fontId="39" fillId="46" borderId="0" xfId="0" applyFont="1" applyFill="1" applyAlignment="1">
      <alignment horizontal="center"/>
    </xf>
    <xf numFmtId="0" fontId="22" fillId="46" borderId="3" xfId="0" applyFont="1" applyFill="1" applyBorder="1" applyAlignment="1">
      <alignment horizontal="center"/>
    </xf>
    <xf numFmtId="0" fontId="23" fillId="46" borderId="0" xfId="0" applyFont="1" applyFill="1"/>
    <xf numFmtId="0" fontId="0" fillId="46" borderId="0" xfId="0" applyFill="1"/>
    <xf numFmtId="166" fontId="44" fillId="0" borderId="9" xfId="2" applyNumberFormat="1" applyFont="1" applyFill="1" applyBorder="1"/>
    <xf numFmtId="0" fontId="44" fillId="0" borderId="0" xfId="0" applyFont="1" applyFill="1"/>
    <xf numFmtId="168" fontId="44" fillId="0" borderId="2" xfId="1" applyNumberFormat="1" applyFont="1" applyFill="1" applyBorder="1"/>
    <xf numFmtId="168" fontId="44" fillId="0" borderId="9" xfId="1" applyNumberFormat="1" applyFont="1" applyFill="1" applyBorder="1"/>
    <xf numFmtId="3" fontId="44" fillId="0" borderId="2" xfId="0" applyNumberFormat="1" applyFont="1" applyFill="1" applyBorder="1"/>
    <xf numFmtId="168" fontId="48" fillId="0" borderId="0" xfId="1" applyNumberFormat="1" applyFont="1" applyFill="1"/>
    <xf numFmtId="168" fontId="44" fillId="0" borderId="0" xfId="1" applyNumberFormat="1" applyFont="1" applyFill="1"/>
    <xf numFmtId="170" fontId="48" fillId="0" borderId="2" xfId="1" applyNumberFormat="1" applyFont="1" applyFill="1" applyBorder="1"/>
    <xf numFmtId="0" fontId="49" fillId="0" borderId="0" xfId="0" applyFont="1" applyFill="1" applyAlignment="1">
      <alignment horizontal="center"/>
    </xf>
    <xf numFmtId="0" fontId="42" fillId="46" borderId="0" xfId="0" applyFont="1" applyFill="1"/>
    <xf numFmtId="0" fontId="3" fillId="46" borderId="3" xfId="0" applyFont="1" applyFill="1" applyBorder="1" applyAlignment="1">
      <alignment horizontal="center"/>
    </xf>
    <xf numFmtId="0" fontId="4" fillId="46" borderId="0" xfId="0" applyFont="1" applyFill="1"/>
    <xf numFmtId="168" fontId="2" fillId="46" borderId="2" xfId="1" applyNumberFormat="1" applyFont="1" applyFill="1" applyBorder="1"/>
    <xf numFmtId="168" fontId="5" fillId="46" borderId="0" xfId="1" applyNumberFormat="1" applyFont="1" applyFill="1"/>
    <xf numFmtId="0" fontId="3" fillId="46" borderId="0" xfId="0" applyFont="1" applyFill="1" applyAlignment="1">
      <alignment horizontal="center"/>
    </xf>
    <xf numFmtId="0" fontId="43" fillId="0" borderId="0" xfId="0" applyFont="1" applyFill="1"/>
    <xf numFmtId="168" fontId="0" fillId="46" borderId="0" xfId="1" applyNumberFormat="1" applyFont="1" applyFill="1"/>
    <xf numFmtId="168" fontId="0" fillId="46" borderId="1" xfId="1" applyNumberFormat="1" applyFont="1" applyFill="1" applyBorder="1"/>
    <xf numFmtId="166" fontId="0" fillId="46" borderId="1" xfId="2" applyNumberFormat="1" applyFont="1" applyFill="1" applyBorder="1"/>
    <xf numFmtId="168" fontId="7" fillId="46" borderId="4" xfId="1" applyNumberFormat="1" applyFont="1" applyFill="1" applyBorder="1"/>
    <xf numFmtId="168" fontId="0" fillId="46" borderId="0" xfId="1" applyNumberFormat="1" applyFont="1" applyFill="1" applyAlignment="1">
      <alignment horizontal="right"/>
    </xf>
    <xf numFmtId="168" fontId="0" fillId="46" borderId="0" xfId="0" applyNumberFormat="1" applyFill="1"/>
    <xf numFmtId="168" fontId="0" fillId="46" borderId="1" xfId="1" applyNumberFormat="1" applyFont="1" applyFill="1" applyBorder="1" applyAlignment="1">
      <alignment horizontal="right"/>
    </xf>
    <xf numFmtId="168" fontId="14" fillId="46" borderId="5" xfId="0" applyNumberFormat="1" applyFont="1" applyFill="1" applyBorder="1"/>
    <xf numFmtId="0" fontId="0" fillId="47" borderId="0" xfId="0" applyFill="1"/>
    <xf numFmtId="0" fontId="39" fillId="47" borderId="0" xfId="0" applyFont="1" applyFill="1" applyAlignment="1">
      <alignment horizontal="center"/>
    </xf>
    <xf numFmtId="0" fontId="3" fillId="47" borderId="3" xfId="0" applyFont="1" applyFill="1" applyBorder="1" applyAlignment="1">
      <alignment horizontal="center"/>
    </xf>
    <xf numFmtId="168" fontId="0" fillId="47" borderId="0" xfId="1" applyNumberFormat="1" applyFont="1" applyFill="1"/>
    <xf numFmtId="168" fontId="0" fillId="47" borderId="1" xfId="1" applyNumberFormat="1" applyFont="1" applyFill="1" applyBorder="1"/>
    <xf numFmtId="168" fontId="5" fillId="47" borderId="0" xfId="1" applyNumberFormat="1" applyFont="1" applyFill="1"/>
    <xf numFmtId="166" fontId="0" fillId="47" borderId="1" xfId="2" applyNumberFormat="1" applyFont="1" applyFill="1" applyBorder="1"/>
    <xf numFmtId="168" fontId="7" fillId="47" borderId="4" xfId="1" applyNumberFormat="1" applyFont="1" applyFill="1" applyBorder="1"/>
    <xf numFmtId="168" fontId="7" fillId="0" borderId="0" xfId="1" applyNumberFormat="1" applyFont="1" applyFill="1"/>
    <xf numFmtId="168" fontId="71" fillId="2" borderId="0" xfId="0" applyNumberFormat="1" applyFont="1" applyFill="1"/>
    <xf numFmtId="0" fontId="0" fillId="14" borderId="0" xfId="0" applyFill="1"/>
    <xf numFmtId="168" fontId="0" fillId="14" borderId="0" xfId="0" applyNumberFormat="1" applyFill="1"/>
    <xf numFmtId="168" fontId="47" fillId="14" borderId="0" xfId="0" applyNumberFormat="1" applyFont="1" applyFill="1"/>
    <xf numFmtId="1" fontId="0" fillId="0" borderId="0" xfId="0" applyNumberFormat="1" applyFill="1"/>
    <xf numFmtId="1" fontId="47" fillId="0" borderId="0" xfId="0" applyNumberFormat="1" applyFont="1" applyFill="1"/>
    <xf numFmtId="168" fontId="44" fillId="0" borderId="0" xfId="1" applyNumberFormat="1" applyFont="1" applyBorder="1"/>
    <xf numFmtId="0" fontId="3" fillId="12" borderId="3" xfId="0" applyFont="1" applyFill="1" applyBorder="1" applyAlignment="1">
      <alignment horizontal="center"/>
    </xf>
    <xf numFmtId="168" fontId="0" fillId="12" borderId="0" xfId="1" applyNumberFormat="1" applyFont="1" applyFill="1"/>
    <xf numFmtId="168" fontId="0" fillId="12" borderId="1" xfId="1" applyNumberFormat="1" applyFont="1" applyFill="1" applyBorder="1"/>
    <xf numFmtId="168" fontId="5" fillId="12" borderId="4" xfId="1" applyNumberFormat="1" applyFont="1" applyFill="1" applyBorder="1"/>
    <xf numFmtId="168" fontId="3" fillId="12" borderId="3" xfId="1" applyNumberFormat="1" applyFont="1" applyFill="1" applyBorder="1" applyAlignment="1">
      <alignment horizontal="center"/>
    </xf>
    <xf numFmtId="168" fontId="5" fillId="12" borderId="0" xfId="1" applyNumberFormat="1" applyFont="1" applyFill="1" applyBorder="1"/>
    <xf numFmtId="168" fontId="0" fillId="12" borderId="1" xfId="1" applyNumberFormat="1" applyFont="1" applyFill="1" applyBorder="1" applyAlignment="1">
      <alignment horizontal="right"/>
    </xf>
    <xf numFmtId="168" fontId="4" fillId="12" borderId="0" xfId="1" applyNumberFormat="1" applyFont="1" applyFill="1"/>
    <xf numFmtId="3" fontId="6" fillId="12" borderId="0" xfId="0" applyNumberFormat="1" applyFont="1" applyFill="1"/>
    <xf numFmtId="3" fontId="0" fillId="12" borderId="0" xfId="0" applyNumberFormat="1" applyFill="1"/>
    <xf numFmtId="168" fontId="6" fillId="12" borderId="0" xfId="0" applyNumberFormat="1" applyFont="1" applyFill="1"/>
    <xf numFmtId="168" fontId="2" fillId="47" borderId="0" xfId="1" applyNumberFormat="1" applyFont="1" applyFill="1"/>
    <xf numFmtId="168" fontId="3" fillId="47" borderId="3" xfId="1" applyNumberFormat="1" applyFont="1" applyFill="1" applyBorder="1" applyAlignment="1">
      <alignment horizontal="center"/>
    </xf>
    <xf numFmtId="168" fontId="5" fillId="47" borderId="0" xfId="1" applyNumberFormat="1" applyFont="1" applyFill="1" applyBorder="1"/>
    <xf numFmtId="168" fontId="6" fillId="47" borderId="0" xfId="0" applyNumberFormat="1" applyFont="1" applyFill="1"/>
    <xf numFmtId="171" fontId="0" fillId="0" borderId="0" xfId="0" applyNumberFormat="1" applyFill="1"/>
    <xf numFmtId="0" fontId="71" fillId="46" borderId="0" xfId="0" applyFont="1" applyFill="1"/>
    <xf numFmtId="0" fontId="71" fillId="2" borderId="0" xfId="0" applyFont="1" applyFill="1"/>
    <xf numFmtId="0" fontId="71" fillId="5" borderId="0" xfId="0" applyFont="1" applyFill="1"/>
    <xf numFmtId="168" fontId="72" fillId="46" borderId="0" xfId="1" applyNumberFormat="1" applyFont="1" applyFill="1"/>
    <xf numFmtId="168" fontId="71" fillId="46" borderId="0" xfId="1" applyNumberFormat="1" applyFont="1" applyFill="1"/>
    <xf numFmtId="166" fontId="2" fillId="46" borderId="9" xfId="2" applyNumberFormat="1" applyFont="1" applyFill="1" applyBorder="1"/>
    <xf numFmtId="166" fontId="2" fillId="2" borderId="9" xfId="2" applyNumberFormat="1" applyFont="1" applyFill="1" applyBorder="1"/>
    <xf numFmtId="166" fontId="2" fillId="5" borderId="9" xfId="2" applyNumberFormat="1" applyFont="1" applyFill="1" applyBorder="1"/>
    <xf numFmtId="168" fontId="2" fillId="2" borderId="2" xfId="1" applyNumberFormat="1" applyFont="1" applyFill="1" applyBorder="1"/>
    <xf numFmtId="168" fontId="2" fillId="5" borderId="2" xfId="1" applyNumberFormat="1" applyFont="1" applyFill="1" applyBorder="1"/>
    <xf numFmtId="3" fontId="2" fillId="46" borderId="0" xfId="0" applyNumberFormat="1" applyFont="1" applyFill="1"/>
    <xf numFmtId="168" fontId="2" fillId="46" borderId="9" xfId="1" applyNumberFormat="1" applyFont="1" applyFill="1" applyBorder="1"/>
    <xf numFmtId="168" fontId="2" fillId="2" borderId="9" xfId="1" applyNumberFormat="1" applyFont="1" applyFill="1" applyBorder="1"/>
    <xf numFmtId="168" fontId="2" fillId="5" borderId="9" xfId="1" applyNumberFormat="1" applyFont="1" applyFill="1" applyBorder="1"/>
    <xf numFmtId="168" fontId="2" fillId="46" borderId="0" xfId="1" applyNumberFormat="1" applyFont="1" applyFill="1"/>
    <xf numFmtId="170" fontId="5" fillId="46" borderId="2" xfId="1" applyNumberFormat="1" applyFont="1" applyFill="1" applyBorder="1"/>
    <xf numFmtId="170" fontId="5" fillId="2" borderId="2" xfId="1" applyNumberFormat="1" applyFont="1" applyFill="1" applyBorder="1"/>
    <xf numFmtId="170" fontId="5" fillId="5" borderId="2" xfId="1" applyNumberFormat="1" applyFont="1" applyFill="1" applyBorder="1"/>
    <xf numFmtId="0" fontId="3" fillId="2" borderId="0" xfId="0" applyFont="1" applyFill="1" applyAlignment="1">
      <alignment horizontal="center"/>
    </xf>
    <xf numFmtId="0" fontId="3" fillId="5" borderId="0" xfId="0" applyFont="1" applyFill="1" applyAlignment="1">
      <alignment horizontal="center"/>
    </xf>
    <xf numFmtId="168" fontId="5" fillId="46" borderId="0" xfId="0" applyNumberFormat="1" applyFont="1" applyFill="1"/>
    <xf numFmtId="0" fontId="71" fillId="7" borderId="0" xfId="0" applyFont="1" applyFill="1"/>
    <xf numFmtId="0" fontId="71" fillId="9" borderId="0" xfId="0" applyFont="1" applyFill="1"/>
    <xf numFmtId="170" fontId="2" fillId="46" borderId="2" xfId="1" applyNumberFormat="1" applyFont="1" applyFill="1" applyBorder="1"/>
    <xf numFmtId="170" fontId="2" fillId="11" borderId="2" xfId="1" applyNumberFormat="1" applyFont="1" applyFill="1" applyBorder="1"/>
    <xf numFmtId="166" fontId="2" fillId="46" borderId="2" xfId="2" applyNumberFormat="1" applyFont="1" applyFill="1" applyBorder="1"/>
    <xf numFmtId="166" fontId="2" fillId="11" borderId="2" xfId="2" applyNumberFormat="1" applyFont="1" applyFill="1" applyBorder="1"/>
    <xf numFmtId="168" fontId="2" fillId="7" borderId="0" xfId="1" applyNumberFormat="1" applyFont="1" applyFill="1"/>
    <xf numFmtId="168" fontId="2" fillId="9" borderId="0" xfId="1" applyNumberFormat="1" applyFont="1" applyFill="1"/>
    <xf numFmtId="3" fontId="2" fillId="48" borderId="0" xfId="44" applyNumberFormat="1" applyFill="1"/>
    <xf numFmtId="3" fontId="3" fillId="48" borderId="0" xfId="44" applyNumberFormat="1" applyFont="1" applyFill="1" applyAlignment="1">
      <alignment horizontal="center"/>
    </xf>
    <xf numFmtId="1" fontId="3" fillId="48" borderId="1" xfId="44" applyNumberFormat="1" applyFont="1" applyFill="1" applyBorder="1" applyAlignment="1">
      <alignment horizontal="center"/>
    </xf>
    <xf numFmtId="3" fontId="44" fillId="48" borderId="0" xfId="44" applyNumberFormat="1" applyFont="1" applyFill="1"/>
    <xf numFmtId="1" fontId="2" fillId="48" borderId="0" xfId="44" applyNumberFormat="1" applyFill="1" applyAlignment="1">
      <alignment horizontal="left"/>
    </xf>
    <xf numFmtId="173" fontId="2" fillId="48" borderId="0" xfId="44" applyNumberFormat="1" applyFill="1"/>
    <xf numFmtId="3" fontId="73" fillId="48" borderId="0" xfId="44" applyNumberFormat="1" applyFont="1" applyFill="1"/>
    <xf numFmtId="173" fontId="3" fillId="0" borderId="0" xfId="44" applyNumberFormat="1" applyFont="1"/>
    <xf numFmtId="175" fontId="67" fillId="0" borderId="0" xfId="47" applyNumberFormat="1" applyFont="1" applyFill="1"/>
    <xf numFmtId="168" fontId="68" fillId="0" borderId="0" xfId="47" applyNumberFormat="1" applyFont="1" applyFill="1"/>
    <xf numFmtId="164" fontId="67" fillId="0" borderId="0" xfId="46" applyNumberFormat="1"/>
    <xf numFmtId="168" fontId="14" fillId="49" borderId="0" xfId="1" applyNumberFormat="1" applyFont="1" applyFill="1"/>
    <xf numFmtId="168" fontId="3" fillId="50" borderId="0" xfId="0" applyNumberFormat="1" applyFont="1" applyFill="1"/>
    <xf numFmtId="168" fontId="3" fillId="0" borderId="0" xfId="0" applyNumberFormat="1" applyFont="1" applyFill="1" applyBorder="1"/>
    <xf numFmtId="168" fontId="34" fillId="0" borderId="0" xfId="1" applyNumberFormat="1" applyFont="1" applyFill="1" applyBorder="1"/>
    <xf numFmtId="168" fontId="3" fillId="0" borderId="0" xfId="1" applyNumberFormat="1" applyFont="1" applyFill="1" applyBorder="1"/>
    <xf numFmtId="168" fontId="30" fillId="0" borderId="0" xfId="1" applyNumberFormat="1" applyFont="1" applyFill="1" applyBorder="1"/>
    <xf numFmtId="0" fontId="4" fillId="0" borderId="0" xfId="0" applyFont="1" applyAlignment="1">
      <alignment wrapText="1"/>
    </xf>
    <xf numFmtId="0" fontId="0" fillId="0" borderId="0" xfId="0" applyAlignment="1">
      <alignment wrapText="1"/>
    </xf>
    <xf numFmtId="0" fontId="3" fillId="0" borderId="0" xfId="0" applyFont="1" applyAlignment="1">
      <alignment horizontal="center"/>
    </xf>
    <xf numFmtId="0" fontId="2" fillId="0" borderId="0" xfId="0" applyFont="1" applyFill="1" applyAlignment="1">
      <alignment wrapText="1"/>
    </xf>
    <xf numFmtId="0" fontId="0" fillId="0" borderId="0" xfId="0" applyFill="1" applyAlignment="1">
      <alignment wrapText="1"/>
    </xf>
    <xf numFmtId="0" fontId="16" fillId="0" borderId="0" xfId="0" applyFont="1" applyFill="1" applyAlignment="1">
      <alignment wrapText="1"/>
    </xf>
    <xf numFmtId="0" fontId="69" fillId="0" borderId="0" xfId="46" applyFont="1" applyAlignment="1">
      <alignment wrapText="1"/>
    </xf>
    <xf numFmtId="0" fontId="70" fillId="0" borderId="0" xfId="44" applyFont="1" applyAlignment="1">
      <alignment wrapText="1"/>
    </xf>
    <xf numFmtId="10" fontId="0" fillId="0" borderId="0" xfId="0" applyNumberFormat="1"/>
    <xf numFmtId="176" fontId="0" fillId="0" borderId="0" xfId="2" applyNumberFormat="1" applyFont="1"/>
    <xf numFmtId="177" fontId="0" fillId="51" borderId="0" xfId="0" applyNumberFormat="1" applyFill="1"/>
    <xf numFmtId="177" fontId="0" fillId="0" borderId="0" xfId="0" applyNumberFormat="1"/>
    <xf numFmtId="177" fontId="0" fillId="14" borderId="0" xfId="0" applyNumberFormat="1" applyFill="1"/>
    <xf numFmtId="10" fontId="0" fillId="14" borderId="0" xfId="0" applyNumberFormat="1" applyFill="1"/>
    <xf numFmtId="10" fontId="0" fillId="51" borderId="0" xfId="0" applyNumberFormat="1" applyFill="1"/>
    <xf numFmtId="177" fontId="0" fillId="0" borderId="0" xfId="0" applyNumberFormat="1" applyFill="1"/>
    <xf numFmtId="176" fontId="71" fillId="5" borderId="0" xfId="2" applyNumberFormat="1" applyFont="1" applyFill="1"/>
    <xf numFmtId="0" fontId="3" fillId="7" borderId="0" xfId="0" applyFont="1" applyFill="1"/>
    <xf numFmtId="176" fontId="0" fillId="14" borderId="0" xfId="2" applyNumberFormat="1" applyFont="1" applyFill="1"/>
  </cellXfs>
  <cellStyles count="48">
    <cellStyle name="20 % - Accent1" xfId="20" builtinId="30" customBuiltin="1"/>
    <cellStyle name="20 % - Accent2" xfId="24" builtinId="34" customBuiltin="1"/>
    <cellStyle name="20 % - Accent3" xfId="28" builtinId="38" customBuiltin="1"/>
    <cellStyle name="20 % - Accent4" xfId="32" builtinId="42" customBuiltin="1"/>
    <cellStyle name="20 % - Accent5" xfId="36" builtinId="46" customBuiltin="1"/>
    <cellStyle name="20 % - Accent6" xfId="40" builtinId="50" customBuiltin="1"/>
    <cellStyle name="40 % - Accent1" xfId="21" builtinId="31" customBuiltin="1"/>
    <cellStyle name="40 % - Accent2" xfId="25" builtinId="35" customBuiltin="1"/>
    <cellStyle name="40 % - Accent3" xfId="29" builtinId="39" customBuiltin="1"/>
    <cellStyle name="40 % - Accent4" xfId="33" builtinId="43" customBuiltin="1"/>
    <cellStyle name="40 % - Accent5" xfId="37" builtinId="47" customBuiltin="1"/>
    <cellStyle name="40 % - Accent6" xfId="41" builtinId="51" customBuiltin="1"/>
    <cellStyle name="60 % - Accent1" xfId="22" builtinId="32" customBuiltin="1"/>
    <cellStyle name="60 % - Accent2" xfId="26" builtinId="36" customBuiltin="1"/>
    <cellStyle name="60 % - Accent3" xfId="30" builtinId="40" customBuiltin="1"/>
    <cellStyle name="60 % - Accent4" xfId="34" builtinId="44" customBuiltin="1"/>
    <cellStyle name="60 % - Accent5" xfId="38" builtinId="48" customBuiltin="1"/>
    <cellStyle name="60 %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Avertissement" xfId="16" builtinId="11" customBuiltin="1"/>
    <cellStyle name="Calcul" xfId="13" builtinId="22" customBuiltin="1"/>
    <cellStyle name="Cellule liée" xfId="14" builtinId="24" customBuiltin="1"/>
    <cellStyle name="Comma_OTPP smoothing comparisons" xfId="47"/>
    <cellStyle name="Entrée" xfId="11" builtinId="20" customBuiltin="1"/>
    <cellStyle name="Insatisfaisant" xfId="9" builtinId="27" customBuiltin="1"/>
    <cellStyle name="Milliers" xfId="1" builtinId="3"/>
    <cellStyle name="Neutre" xfId="10" builtinId="28" customBuiltin="1"/>
    <cellStyle name="Normal" xfId="0" builtinId="0"/>
    <cellStyle name="Normal 2" xfId="43"/>
    <cellStyle name="Normal 3" xfId="44"/>
    <cellStyle name="Normal_OTPP smoothing comparisons" xfId="46"/>
    <cellStyle name="Note 2" xfId="45"/>
    <cellStyle name="Pourcentage" xfId="2" builtinId="5"/>
    <cellStyle name="Satisfaisant" xfId="8" builtinId="26" customBuiltin="1"/>
    <cellStyle name="Sortie" xfId="12" builtinId="21" customBuiltin="1"/>
    <cellStyle name="Texte explicatif" xfId="17" builtinId="53" customBuiltin="1"/>
    <cellStyle name="Titre" xfId="3" builtinId="15" customBuiltin="1"/>
    <cellStyle name="Titre 1" xfId="4" builtinId="16" customBuiltin="1"/>
    <cellStyle name="Titre 2" xfId="5" builtinId="17" customBuiltin="1"/>
    <cellStyle name="Titre 3" xfId="6" builtinId="18" customBuiltin="1"/>
    <cellStyle name="Titre 4" xfId="7" builtinId="19" customBuiltin="1"/>
    <cellStyle name="Total" xfId="18" builtinId="25" customBuiltin="1"/>
    <cellStyle name="Vérification" xfId="15" builtinId="23"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25</xdr:col>
      <xdr:colOff>428625</xdr:colOff>
      <xdr:row>4</xdr:row>
      <xdr:rowOff>19050</xdr:rowOff>
    </xdr:from>
    <xdr:to>
      <xdr:col>25</xdr:col>
      <xdr:colOff>428625</xdr:colOff>
      <xdr:row>4</xdr:row>
      <xdr:rowOff>19050</xdr:rowOff>
    </xdr:to>
    <xdr:sp macro="" textlink="">
      <xdr:nvSpPr>
        <xdr:cNvPr id="1121" name="Line 2"/>
        <xdr:cNvSpPr>
          <a:spLocks noChangeShapeType="1"/>
        </xdr:cNvSpPr>
      </xdr:nvSpPr>
      <xdr:spPr bwMode="auto">
        <a:xfrm>
          <a:off x="11287125" y="714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26</xdr:col>
      <xdr:colOff>428625</xdr:colOff>
      <xdr:row>4</xdr:row>
      <xdr:rowOff>19050</xdr:rowOff>
    </xdr:from>
    <xdr:to>
      <xdr:col>26</xdr:col>
      <xdr:colOff>428625</xdr:colOff>
      <xdr:row>4</xdr:row>
      <xdr:rowOff>19050</xdr:rowOff>
    </xdr:to>
    <xdr:sp macro="" textlink="">
      <xdr:nvSpPr>
        <xdr:cNvPr id="4" name="Line 2"/>
        <xdr:cNvSpPr>
          <a:spLocks noChangeShapeType="1"/>
        </xdr:cNvSpPr>
      </xdr:nvSpPr>
      <xdr:spPr bwMode="auto">
        <a:xfrm>
          <a:off x="11287125" y="714375"/>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lients/Gov%20Ont/Valuation%20Allowance/OTPP/Document%20Received%20-%20no%20notes/OTPP%202016%20-17%20forecast%20database%20v1%20(Basis%203)%20updated%20with%20final%20assets%20from%20audited%20FS%20OTP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TPP Data"/>
      <sheetName val="Assumptions and Trends"/>
      <sheetName val="Assumption Comparisons"/>
      <sheetName val="Smoothing"/>
      <sheetName val="Gain avai. for smoothing 2015"/>
      <sheetName val="Gain avai. for smoothing 2014"/>
      <sheetName val="Gain avai. for smoothing 2013"/>
      <sheetName val="Gain avai. for smoothing 2012"/>
      <sheetName val="Comparison of smoothing 2011"/>
      <sheetName val="Yr over Yr Analysis"/>
    </sheetNames>
    <sheetDataSet>
      <sheetData sheetId="0"/>
      <sheetData sheetId="1">
        <row r="28">
          <cell r="S28">
            <v>5537</v>
          </cell>
        </row>
        <row r="47">
          <cell r="S47">
            <v>3299</v>
          </cell>
        </row>
      </sheetData>
      <sheetData sheetId="2"/>
      <sheetData sheetId="3"/>
      <sheetData sheetId="4"/>
      <sheetData sheetId="5">
        <row r="20">
          <cell r="K20">
            <v>-6408</v>
          </cell>
        </row>
      </sheetData>
      <sheetData sheetId="6">
        <row r="20">
          <cell r="K20">
            <v>-4673</v>
          </cell>
        </row>
      </sheetData>
      <sheetData sheetId="7">
        <row r="20">
          <cell r="K20">
            <v>-6555</v>
          </cell>
        </row>
      </sheetData>
      <sheetData sheetId="8">
        <row r="27">
          <cell r="K27">
            <v>-4247</v>
          </cell>
        </row>
      </sheetData>
      <sheetData sheetId="9"/>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D59"/>
  <sheetViews>
    <sheetView tabSelected="1" topLeftCell="B1" workbookViewId="0">
      <selection activeCell="B26" sqref="B26"/>
    </sheetView>
  </sheetViews>
  <sheetFormatPr baseColWidth="10" defaultRowHeight="12.75" x14ac:dyDescent="0.2"/>
  <cols>
    <col min="1" max="1" width="107.42578125" bestFit="1" customWidth="1"/>
    <col min="2" max="2" width="12.5703125" customWidth="1"/>
    <col min="4" max="4" width="32" bestFit="1" customWidth="1"/>
  </cols>
  <sheetData>
    <row r="3" spans="1:56" s="2" customFormat="1" x14ac:dyDescent="0.2">
      <c r="D3" s="2" t="s">
        <v>513</v>
      </c>
      <c r="E3" s="2">
        <v>2015</v>
      </c>
      <c r="F3" s="2">
        <v>2016</v>
      </c>
      <c r="G3" s="2">
        <v>2017</v>
      </c>
      <c r="H3" s="2">
        <v>2018</v>
      </c>
      <c r="I3" s="2">
        <v>2019</v>
      </c>
      <c r="J3" s="2">
        <v>2020</v>
      </c>
      <c r="K3" s="2">
        <v>2021</v>
      </c>
      <c r="L3" s="2">
        <v>2022</v>
      </c>
      <c r="M3" s="2">
        <v>2023</v>
      </c>
      <c r="N3" s="2">
        <v>2024</v>
      </c>
      <c r="O3" s="2">
        <v>2025</v>
      </c>
      <c r="P3" s="2">
        <v>2026</v>
      </c>
      <c r="Q3" s="2">
        <v>2027</v>
      </c>
      <c r="R3" s="2">
        <v>2028</v>
      </c>
      <c r="S3" s="2">
        <v>2029</v>
      </c>
      <c r="T3" s="2">
        <v>2030</v>
      </c>
      <c r="U3" s="2">
        <v>2031</v>
      </c>
      <c r="V3" s="2">
        <v>2032</v>
      </c>
      <c r="W3" s="2">
        <v>2033</v>
      </c>
      <c r="X3" s="2">
        <v>2034</v>
      </c>
      <c r="Y3" s="2">
        <v>2035</v>
      </c>
      <c r="Z3" s="2">
        <v>2036</v>
      </c>
      <c r="AA3" s="2">
        <v>2037</v>
      </c>
      <c r="AB3" s="2">
        <v>2038</v>
      </c>
      <c r="AC3" s="2">
        <v>2039</v>
      </c>
      <c r="AD3" s="2">
        <v>2040</v>
      </c>
      <c r="AE3" s="2">
        <v>2041</v>
      </c>
      <c r="AF3" s="2">
        <v>2042</v>
      </c>
      <c r="AG3" s="2">
        <v>2043</v>
      </c>
      <c r="AH3" s="2">
        <v>2044</v>
      </c>
      <c r="AI3" s="2">
        <v>2045</v>
      </c>
      <c r="AJ3" s="2">
        <v>2046</v>
      </c>
      <c r="AK3" s="2">
        <v>2047</v>
      </c>
      <c r="AL3" s="2">
        <v>2048</v>
      </c>
      <c r="AM3" s="2">
        <v>2049</v>
      </c>
      <c r="AN3" s="2">
        <v>2050</v>
      </c>
      <c r="AO3" s="2">
        <v>2051</v>
      </c>
      <c r="AP3" s="2">
        <v>2052</v>
      </c>
      <c r="AQ3" s="2">
        <v>2053</v>
      </c>
      <c r="AR3" s="2">
        <v>2054</v>
      </c>
      <c r="AS3" s="2">
        <v>2055</v>
      </c>
      <c r="AT3" s="2">
        <v>2056</v>
      </c>
      <c r="AU3" s="2">
        <v>2057</v>
      </c>
      <c r="AV3" s="2">
        <v>2058</v>
      </c>
      <c r="AW3" s="2">
        <v>2059</v>
      </c>
      <c r="AX3" s="2">
        <v>2060</v>
      </c>
      <c r="AY3" s="2">
        <v>2061</v>
      </c>
      <c r="AZ3" s="2">
        <v>2062</v>
      </c>
      <c r="BA3" s="2">
        <v>2063</v>
      </c>
      <c r="BB3" s="2">
        <v>2064</v>
      </c>
      <c r="BC3" s="2">
        <v>2065</v>
      </c>
      <c r="BD3" s="2">
        <v>2066</v>
      </c>
    </row>
    <row r="5" spans="1:56" x14ac:dyDescent="0.2">
      <c r="A5" t="s">
        <v>518</v>
      </c>
      <c r="C5" t="s">
        <v>492</v>
      </c>
      <c r="D5" t="s">
        <v>481</v>
      </c>
      <c r="E5" s="587">
        <v>6.25E-2</v>
      </c>
      <c r="F5" s="582">
        <f>E5</f>
        <v>6.25E-2</v>
      </c>
      <c r="G5" s="582">
        <f t="shared" ref="G5:V9" si="0">F5</f>
        <v>6.25E-2</v>
      </c>
      <c r="H5" s="582">
        <f t="shared" si="0"/>
        <v>6.25E-2</v>
      </c>
      <c r="I5" s="582">
        <f t="shared" si="0"/>
        <v>6.25E-2</v>
      </c>
      <c r="J5" s="582">
        <f t="shared" si="0"/>
        <v>6.25E-2</v>
      </c>
      <c r="K5" s="582">
        <f t="shared" si="0"/>
        <v>6.25E-2</v>
      </c>
      <c r="L5" s="582">
        <f t="shared" si="0"/>
        <v>6.25E-2</v>
      </c>
      <c r="M5" s="582">
        <f t="shared" si="0"/>
        <v>6.25E-2</v>
      </c>
      <c r="N5" s="582">
        <f t="shared" si="0"/>
        <v>6.25E-2</v>
      </c>
      <c r="O5" s="582">
        <f t="shared" si="0"/>
        <v>6.25E-2</v>
      </c>
      <c r="P5" s="582">
        <f t="shared" si="0"/>
        <v>6.25E-2</v>
      </c>
      <c r="Q5" s="582">
        <f t="shared" si="0"/>
        <v>6.25E-2</v>
      </c>
      <c r="R5" s="582">
        <f t="shared" si="0"/>
        <v>6.25E-2</v>
      </c>
      <c r="S5" s="582">
        <f t="shared" si="0"/>
        <v>6.25E-2</v>
      </c>
      <c r="T5" s="582">
        <f t="shared" si="0"/>
        <v>6.25E-2</v>
      </c>
      <c r="U5" s="582">
        <f t="shared" si="0"/>
        <v>6.25E-2</v>
      </c>
      <c r="V5" s="582">
        <f t="shared" si="0"/>
        <v>6.25E-2</v>
      </c>
      <c r="W5" s="582">
        <f t="shared" ref="W5:Z5" si="1">V5</f>
        <v>6.25E-2</v>
      </c>
      <c r="X5" s="582">
        <f t="shared" si="1"/>
        <v>6.25E-2</v>
      </c>
      <c r="Y5" s="582">
        <f t="shared" si="1"/>
        <v>6.25E-2</v>
      </c>
      <c r="Z5" s="582">
        <f t="shared" si="1"/>
        <v>6.25E-2</v>
      </c>
      <c r="AA5" s="582">
        <f t="shared" ref="AA5:AG5" si="2">Z5</f>
        <v>6.25E-2</v>
      </c>
      <c r="AB5" s="582">
        <f t="shared" si="2"/>
        <v>6.25E-2</v>
      </c>
      <c r="AC5" s="582">
        <f t="shared" si="2"/>
        <v>6.25E-2</v>
      </c>
      <c r="AD5" s="582">
        <f t="shared" si="2"/>
        <v>6.25E-2</v>
      </c>
      <c r="AE5" s="582">
        <f t="shared" si="2"/>
        <v>6.25E-2</v>
      </c>
      <c r="AF5" s="582">
        <f t="shared" si="2"/>
        <v>6.25E-2</v>
      </c>
      <c r="AG5" s="582">
        <f t="shared" si="2"/>
        <v>6.25E-2</v>
      </c>
      <c r="AH5" s="582">
        <f t="shared" ref="AH5:AM5" si="3">AG5</f>
        <v>6.25E-2</v>
      </c>
      <c r="AI5" s="582">
        <f t="shared" si="3"/>
        <v>6.25E-2</v>
      </c>
      <c r="AJ5" s="582">
        <f t="shared" si="3"/>
        <v>6.25E-2</v>
      </c>
      <c r="AK5" s="582">
        <f t="shared" si="3"/>
        <v>6.25E-2</v>
      </c>
      <c r="AL5" s="582">
        <f t="shared" si="3"/>
        <v>6.25E-2</v>
      </c>
      <c r="AM5" s="582">
        <f t="shared" si="3"/>
        <v>6.25E-2</v>
      </c>
      <c r="AN5" s="582">
        <f t="shared" ref="AN5:BD5" si="4">AM5</f>
        <v>6.25E-2</v>
      </c>
      <c r="AO5" s="582">
        <f t="shared" si="4"/>
        <v>6.25E-2</v>
      </c>
      <c r="AP5" s="582">
        <f t="shared" si="4"/>
        <v>6.25E-2</v>
      </c>
      <c r="AQ5" s="582">
        <f t="shared" si="4"/>
        <v>6.25E-2</v>
      </c>
      <c r="AR5" s="582">
        <f t="shared" si="4"/>
        <v>6.25E-2</v>
      </c>
      <c r="AS5" s="582">
        <f t="shared" si="4"/>
        <v>6.25E-2</v>
      </c>
      <c r="AT5" s="582">
        <f t="shared" si="4"/>
        <v>6.25E-2</v>
      </c>
      <c r="AU5" s="582">
        <f t="shared" si="4"/>
        <v>6.25E-2</v>
      </c>
      <c r="AV5" s="582">
        <f t="shared" si="4"/>
        <v>6.25E-2</v>
      </c>
      <c r="AW5" s="582">
        <f t="shared" si="4"/>
        <v>6.25E-2</v>
      </c>
      <c r="AX5" s="582">
        <f t="shared" si="4"/>
        <v>6.25E-2</v>
      </c>
      <c r="AY5" s="582">
        <f t="shared" si="4"/>
        <v>6.25E-2</v>
      </c>
      <c r="AZ5" s="582">
        <f t="shared" si="4"/>
        <v>6.25E-2</v>
      </c>
      <c r="BA5" s="582">
        <f t="shared" si="4"/>
        <v>6.25E-2</v>
      </c>
      <c r="BB5" s="582">
        <f t="shared" si="4"/>
        <v>6.25E-2</v>
      </c>
      <c r="BC5" s="582">
        <f t="shared" si="4"/>
        <v>6.25E-2</v>
      </c>
      <c r="BD5" s="582">
        <f t="shared" si="4"/>
        <v>6.25E-2</v>
      </c>
    </row>
    <row r="6" spans="1:56" x14ac:dyDescent="0.2">
      <c r="A6" t="s">
        <v>519</v>
      </c>
      <c r="C6" t="s">
        <v>495</v>
      </c>
      <c r="D6" t="s">
        <v>482</v>
      </c>
      <c r="E6" s="587">
        <v>4.8500000000000001E-2</v>
      </c>
      <c r="F6" s="582">
        <f t="shared" ref="F6:U9" si="5">E6</f>
        <v>4.8500000000000001E-2</v>
      </c>
      <c r="G6" s="582">
        <f t="shared" si="5"/>
        <v>4.8500000000000001E-2</v>
      </c>
      <c r="H6" s="582">
        <f t="shared" si="5"/>
        <v>4.8500000000000001E-2</v>
      </c>
      <c r="I6" s="582">
        <f t="shared" si="5"/>
        <v>4.8500000000000001E-2</v>
      </c>
      <c r="J6" s="582">
        <f t="shared" si="5"/>
        <v>4.8500000000000001E-2</v>
      </c>
      <c r="K6" s="582">
        <f t="shared" si="5"/>
        <v>4.8500000000000001E-2</v>
      </c>
      <c r="L6" s="582">
        <f t="shared" si="5"/>
        <v>4.8500000000000001E-2</v>
      </c>
      <c r="M6" s="582">
        <f t="shared" si="5"/>
        <v>4.8500000000000001E-2</v>
      </c>
      <c r="N6" s="582">
        <f t="shared" si="5"/>
        <v>4.8500000000000001E-2</v>
      </c>
      <c r="O6" s="582">
        <f t="shared" si="5"/>
        <v>4.8500000000000001E-2</v>
      </c>
      <c r="P6" s="582">
        <f t="shared" si="5"/>
        <v>4.8500000000000001E-2</v>
      </c>
      <c r="Q6" s="582">
        <f t="shared" si="5"/>
        <v>4.8500000000000001E-2</v>
      </c>
      <c r="R6" s="582">
        <f t="shared" si="5"/>
        <v>4.8500000000000001E-2</v>
      </c>
      <c r="S6" s="582">
        <f t="shared" si="5"/>
        <v>4.8500000000000001E-2</v>
      </c>
      <c r="T6" s="582">
        <f t="shared" si="5"/>
        <v>4.8500000000000001E-2</v>
      </c>
      <c r="U6" s="582">
        <f t="shared" si="5"/>
        <v>4.8500000000000001E-2</v>
      </c>
      <c r="V6" s="582">
        <f t="shared" si="0"/>
        <v>4.8500000000000001E-2</v>
      </c>
      <c r="W6" s="582">
        <f t="shared" ref="W6:Z6" si="6">V6</f>
        <v>4.8500000000000001E-2</v>
      </c>
      <c r="X6" s="582">
        <f t="shared" si="6"/>
        <v>4.8500000000000001E-2</v>
      </c>
      <c r="Y6" s="582">
        <f t="shared" si="6"/>
        <v>4.8500000000000001E-2</v>
      </c>
      <c r="Z6" s="582">
        <f t="shared" si="6"/>
        <v>4.8500000000000001E-2</v>
      </c>
      <c r="AA6" s="582">
        <f t="shared" ref="AA6:AG6" si="7">Z6</f>
        <v>4.8500000000000001E-2</v>
      </c>
      <c r="AB6" s="582">
        <f t="shared" si="7"/>
        <v>4.8500000000000001E-2</v>
      </c>
      <c r="AC6" s="582">
        <f t="shared" si="7"/>
        <v>4.8500000000000001E-2</v>
      </c>
      <c r="AD6" s="582">
        <f t="shared" si="7"/>
        <v>4.8500000000000001E-2</v>
      </c>
      <c r="AE6" s="582">
        <f t="shared" si="7"/>
        <v>4.8500000000000001E-2</v>
      </c>
      <c r="AF6" s="582">
        <f t="shared" si="7"/>
        <v>4.8500000000000001E-2</v>
      </c>
      <c r="AG6" s="582">
        <f t="shared" si="7"/>
        <v>4.8500000000000001E-2</v>
      </c>
      <c r="AH6" s="582">
        <f t="shared" ref="AH6:AM6" si="8">AG6</f>
        <v>4.8500000000000001E-2</v>
      </c>
      <c r="AI6" s="582">
        <f t="shared" si="8"/>
        <v>4.8500000000000001E-2</v>
      </c>
      <c r="AJ6" s="582">
        <f t="shared" si="8"/>
        <v>4.8500000000000001E-2</v>
      </c>
      <c r="AK6" s="582">
        <f t="shared" si="8"/>
        <v>4.8500000000000001E-2</v>
      </c>
      <c r="AL6" s="582">
        <f t="shared" si="8"/>
        <v>4.8500000000000001E-2</v>
      </c>
      <c r="AM6" s="582">
        <f t="shared" si="8"/>
        <v>4.8500000000000001E-2</v>
      </c>
      <c r="AN6" s="582">
        <f t="shared" ref="AN6:BD6" si="9">AM6</f>
        <v>4.8500000000000001E-2</v>
      </c>
      <c r="AO6" s="582">
        <f t="shared" si="9"/>
        <v>4.8500000000000001E-2</v>
      </c>
      <c r="AP6" s="582">
        <f t="shared" si="9"/>
        <v>4.8500000000000001E-2</v>
      </c>
      <c r="AQ6" s="582">
        <f t="shared" si="9"/>
        <v>4.8500000000000001E-2</v>
      </c>
      <c r="AR6" s="582">
        <f t="shared" si="9"/>
        <v>4.8500000000000001E-2</v>
      </c>
      <c r="AS6" s="582">
        <f t="shared" si="9"/>
        <v>4.8500000000000001E-2</v>
      </c>
      <c r="AT6" s="582">
        <f t="shared" si="9"/>
        <v>4.8500000000000001E-2</v>
      </c>
      <c r="AU6" s="582">
        <f t="shared" si="9"/>
        <v>4.8500000000000001E-2</v>
      </c>
      <c r="AV6" s="582">
        <f t="shared" si="9"/>
        <v>4.8500000000000001E-2</v>
      </c>
      <c r="AW6" s="582">
        <f t="shared" si="9"/>
        <v>4.8500000000000001E-2</v>
      </c>
      <c r="AX6" s="582">
        <f t="shared" si="9"/>
        <v>4.8500000000000001E-2</v>
      </c>
      <c r="AY6" s="582">
        <f t="shared" si="9"/>
        <v>4.8500000000000001E-2</v>
      </c>
      <c r="AZ6" s="582">
        <f t="shared" si="9"/>
        <v>4.8500000000000001E-2</v>
      </c>
      <c r="BA6" s="582">
        <f t="shared" si="9"/>
        <v>4.8500000000000001E-2</v>
      </c>
      <c r="BB6" s="582">
        <f t="shared" si="9"/>
        <v>4.8500000000000001E-2</v>
      </c>
      <c r="BC6" s="582">
        <f t="shared" si="9"/>
        <v>4.8500000000000001E-2</v>
      </c>
      <c r="BD6" s="582">
        <f t="shared" si="9"/>
        <v>4.8500000000000001E-2</v>
      </c>
    </row>
    <row r="7" spans="1:56" x14ac:dyDescent="0.2">
      <c r="A7" t="s">
        <v>518</v>
      </c>
      <c r="C7" t="s">
        <v>496</v>
      </c>
      <c r="D7" t="s">
        <v>483</v>
      </c>
      <c r="E7" s="587">
        <v>6.25E-2</v>
      </c>
      <c r="F7" s="582">
        <f t="shared" si="5"/>
        <v>6.25E-2</v>
      </c>
      <c r="G7" s="582">
        <f t="shared" si="0"/>
        <v>6.25E-2</v>
      </c>
      <c r="H7" s="582">
        <f t="shared" si="0"/>
        <v>6.25E-2</v>
      </c>
      <c r="I7" s="582">
        <f t="shared" si="0"/>
        <v>6.25E-2</v>
      </c>
      <c r="J7" s="582">
        <f t="shared" si="0"/>
        <v>6.25E-2</v>
      </c>
      <c r="K7" s="582">
        <f t="shared" si="0"/>
        <v>6.25E-2</v>
      </c>
      <c r="L7" s="582">
        <f t="shared" si="0"/>
        <v>6.25E-2</v>
      </c>
      <c r="M7" s="582">
        <f t="shared" si="0"/>
        <v>6.25E-2</v>
      </c>
      <c r="N7" s="582">
        <f t="shared" si="0"/>
        <v>6.25E-2</v>
      </c>
      <c r="O7" s="582">
        <f t="shared" si="0"/>
        <v>6.25E-2</v>
      </c>
      <c r="P7" s="582">
        <f t="shared" si="0"/>
        <v>6.25E-2</v>
      </c>
      <c r="Q7" s="582">
        <f t="shared" si="0"/>
        <v>6.25E-2</v>
      </c>
      <c r="R7" s="582">
        <f t="shared" si="0"/>
        <v>6.25E-2</v>
      </c>
      <c r="S7" s="582">
        <f t="shared" si="0"/>
        <v>6.25E-2</v>
      </c>
      <c r="T7" s="582">
        <f t="shared" si="0"/>
        <v>6.25E-2</v>
      </c>
      <c r="U7" s="582">
        <f t="shared" si="0"/>
        <v>6.25E-2</v>
      </c>
      <c r="V7" s="582">
        <f t="shared" si="0"/>
        <v>6.25E-2</v>
      </c>
      <c r="W7" s="582">
        <f t="shared" ref="W7:Z7" si="10">V7</f>
        <v>6.25E-2</v>
      </c>
      <c r="X7" s="582">
        <f t="shared" si="10"/>
        <v>6.25E-2</v>
      </c>
      <c r="Y7" s="582">
        <f t="shared" si="10"/>
        <v>6.25E-2</v>
      </c>
      <c r="Z7" s="582">
        <f t="shared" si="10"/>
        <v>6.25E-2</v>
      </c>
      <c r="AA7" s="582">
        <f t="shared" ref="AA7:AG7" si="11">Z7</f>
        <v>6.25E-2</v>
      </c>
      <c r="AB7" s="582">
        <f t="shared" si="11"/>
        <v>6.25E-2</v>
      </c>
      <c r="AC7" s="582">
        <f t="shared" si="11"/>
        <v>6.25E-2</v>
      </c>
      <c r="AD7" s="582">
        <f t="shared" si="11"/>
        <v>6.25E-2</v>
      </c>
      <c r="AE7" s="582">
        <f t="shared" si="11"/>
        <v>6.25E-2</v>
      </c>
      <c r="AF7" s="582">
        <f t="shared" si="11"/>
        <v>6.25E-2</v>
      </c>
      <c r="AG7" s="582">
        <f t="shared" si="11"/>
        <v>6.25E-2</v>
      </c>
      <c r="AH7" s="582">
        <f t="shared" ref="AH7:AM7" si="12">AG7</f>
        <v>6.25E-2</v>
      </c>
      <c r="AI7" s="582">
        <f t="shared" si="12"/>
        <v>6.25E-2</v>
      </c>
      <c r="AJ7" s="582">
        <f t="shared" si="12"/>
        <v>6.25E-2</v>
      </c>
      <c r="AK7" s="582">
        <f t="shared" si="12"/>
        <v>6.25E-2</v>
      </c>
      <c r="AL7" s="582">
        <f t="shared" si="12"/>
        <v>6.25E-2</v>
      </c>
      <c r="AM7" s="582">
        <f t="shared" si="12"/>
        <v>6.25E-2</v>
      </c>
      <c r="AN7" s="582">
        <f t="shared" ref="AN7:BD7" si="13">AM7</f>
        <v>6.25E-2</v>
      </c>
      <c r="AO7" s="582">
        <f t="shared" si="13"/>
        <v>6.25E-2</v>
      </c>
      <c r="AP7" s="582">
        <f t="shared" si="13"/>
        <v>6.25E-2</v>
      </c>
      <c r="AQ7" s="582">
        <f t="shared" si="13"/>
        <v>6.25E-2</v>
      </c>
      <c r="AR7" s="582">
        <f t="shared" si="13"/>
        <v>6.25E-2</v>
      </c>
      <c r="AS7" s="582">
        <f t="shared" si="13"/>
        <v>6.25E-2</v>
      </c>
      <c r="AT7" s="582">
        <f t="shared" si="13"/>
        <v>6.25E-2</v>
      </c>
      <c r="AU7" s="582">
        <f t="shared" si="13"/>
        <v>6.25E-2</v>
      </c>
      <c r="AV7" s="582">
        <f t="shared" si="13"/>
        <v>6.25E-2</v>
      </c>
      <c r="AW7" s="582">
        <f t="shared" si="13"/>
        <v>6.25E-2</v>
      </c>
      <c r="AX7" s="582">
        <f t="shared" si="13"/>
        <v>6.25E-2</v>
      </c>
      <c r="AY7" s="582">
        <f t="shared" si="13"/>
        <v>6.25E-2</v>
      </c>
      <c r="AZ7" s="582">
        <f t="shared" si="13"/>
        <v>6.25E-2</v>
      </c>
      <c r="BA7" s="582">
        <f t="shared" si="13"/>
        <v>6.25E-2</v>
      </c>
      <c r="BB7" s="582">
        <f t="shared" si="13"/>
        <v>6.25E-2</v>
      </c>
      <c r="BC7" s="582">
        <f t="shared" si="13"/>
        <v>6.25E-2</v>
      </c>
      <c r="BD7" s="582">
        <f t="shared" si="13"/>
        <v>6.25E-2</v>
      </c>
    </row>
    <row r="8" spans="1:56" x14ac:dyDescent="0.2">
      <c r="A8" t="s">
        <v>518</v>
      </c>
      <c r="C8" t="s">
        <v>497</v>
      </c>
      <c r="D8" t="s">
        <v>484</v>
      </c>
      <c r="E8" s="587">
        <v>0.03</v>
      </c>
      <c r="F8" s="582">
        <f t="shared" si="5"/>
        <v>0.03</v>
      </c>
      <c r="G8" s="582">
        <f t="shared" si="0"/>
        <v>0.03</v>
      </c>
      <c r="H8" s="582">
        <f t="shared" si="0"/>
        <v>0.03</v>
      </c>
      <c r="I8" s="582">
        <f t="shared" si="0"/>
        <v>0.03</v>
      </c>
      <c r="J8" s="582">
        <f t="shared" si="0"/>
        <v>0.03</v>
      </c>
      <c r="K8" s="582">
        <f t="shared" si="0"/>
        <v>0.03</v>
      </c>
      <c r="L8" s="582">
        <f t="shared" si="0"/>
        <v>0.03</v>
      </c>
      <c r="M8" s="582">
        <f t="shared" si="0"/>
        <v>0.03</v>
      </c>
      <c r="N8" s="582">
        <f t="shared" si="0"/>
        <v>0.03</v>
      </c>
      <c r="O8" s="582">
        <f t="shared" si="0"/>
        <v>0.03</v>
      </c>
      <c r="P8" s="582">
        <f t="shared" si="0"/>
        <v>0.03</v>
      </c>
      <c r="Q8" s="582">
        <f t="shared" si="0"/>
        <v>0.03</v>
      </c>
      <c r="R8" s="582">
        <f t="shared" si="0"/>
        <v>0.03</v>
      </c>
      <c r="S8" s="582">
        <f t="shared" si="0"/>
        <v>0.03</v>
      </c>
      <c r="T8" s="582">
        <f t="shared" si="0"/>
        <v>0.03</v>
      </c>
      <c r="U8" s="582">
        <f t="shared" si="0"/>
        <v>0.03</v>
      </c>
      <c r="V8" s="582">
        <f t="shared" si="0"/>
        <v>0.03</v>
      </c>
      <c r="W8" s="582">
        <f t="shared" ref="W8:Z8" si="14">V8</f>
        <v>0.03</v>
      </c>
      <c r="X8" s="582">
        <f t="shared" si="14"/>
        <v>0.03</v>
      </c>
      <c r="Y8" s="582">
        <f t="shared" si="14"/>
        <v>0.03</v>
      </c>
      <c r="Z8" s="582">
        <f t="shared" si="14"/>
        <v>0.03</v>
      </c>
      <c r="AA8" s="582">
        <f t="shared" ref="AA8:AG8" si="15">Z8</f>
        <v>0.03</v>
      </c>
      <c r="AB8" s="582">
        <f t="shared" si="15"/>
        <v>0.03</v>
      </c>
      <c r="AC8" s="582">
        <f t="shared" si="15"/>
        <v>0.03</v>
      </c>
      <c r="AD8" s="582">
        <f t="shared" si="15"/>
        <v>0.03</v>
      </c>
      <c r="AE8" s="582">
        <f t="shared" si="15"/>
        <v>0.03</v>
      </c>
      <c r="AF8" s="582">
        <f t="shared" si="15"/>
        <v>0.03</v>
      </c>
      <c r="AG8" s="582">
        <f t="shared" si="15"/>
        <v>0.03</v>
      </c>
      <c r="AH8" s="582">
        <f t="shared" ref="AH8:AM8" si="16">AG8</f>
        <v>0.03</v>
      </c>
      <c r="AI8" s="582">
        <f t="shared" si="16"/>
        <v>0.03</v>
      </c>
      <c r="AJ8" s="582">
        <f t="shared" si="16"/>
        <v>0.03</v>
      </c>
      <c r="AK8" s="582">
        <f t="shared" si="16"/>
        <v>0.03</v>
      </c>
      <c r="AL8" s="582">
        <f t="shared" si="16"/>
        <v>0.03</v>
      </c>
      <c r="AM8" s="582">
        <f t="shared" si="16"/>
        <v>0.03</v>
      </c>
      <c r="AN8" s="582">
        <f t="shared" ref="AN8:BD8" si="17">AM8</f>
        <v>0.03</v>
      </c>
      <c r="AO8" s="582">
        <f t="shared" si="17"/>
        <v>0.03</v>
      </c>
      <c r="AP8" s="582">
        <f t="shared" si="17"/>
        <v>0.03</v>
      </c>
      <c r="AQ8" s="582">
        <f t="shared" si="17"/>
        <v>0.03</v>
      </c>
      <c r="AR8" s="582">
        <f t="shared" si="17"/>
        <v>0.03</v>
      </c>
      <c r="AS8" s="582">
        <f t="shared" si="17"/>
        <v>0.03</v>
      </c>
      <c r="AT8" s="582">
        <f t="shared" si="17"/>
        <v>0.03</v>
      </c>
      <c r="AU8" s="582">
        <f t="shared" si="17"/>
        <v>0.03</v>
      </c>
      <c r="AV8" s="582">
        <f t="shared" si="17"/>
        <v>0.03</v>
      </c>
      <c r="AW8" s="582">
        <f t="shared" si="17"/>
        <v>0.03</v>
      </c>
      <c r="AX8" s="582">
        <f t="shared" si="17"/>
        <v>0.03</v>
      </c>
      <c r="AY8" s="582">
        <f t="shared" si="17"/>
        <v>0.03</v>
      </c>
      <c r="AZ8" s="582">
        <f t="shared" si="17"/>
        <v>0.03</v>
      </c>
      <c r="BA8" s="582">
        <f t="shared" si="17"/>
        <v>0.03</v>
      </c>
      <c r="BB8" s="582">
        <f t="shared" si="17"/>
        <v>0.03</v>
      </c>
      <c r="BC8" s="582">
        <f t="shared" si="17"/>
        <v>0.03</v>
      </c>
      <c r="BD8" s="582">
        <f t="shared" si="17"/>
        <v>0.03</v>
      </c>
    </row>
    <row r="9" spans="1:56" x14ac:dyDescent="0.2">
      <c r="A9" t="s">
        <v>517</v>
      </c>
      <c r="C9" t="s">
        <v>493</v>
      </c>
      <c r="D9" t="s">
        <v>485</v>
      </c>
      <c r="E9" s="588">
        <v>0.04</v>
      </c>
      <c r="F9" s="582">
        <f t="shared" si="5"/>
        <v>0.04</v>
      </c>
      <c r="G9" s="582">
        <f t="shared" si="0"/>
        <v>0.04</v>
      </c>
      <c r="H9" s="582">
        <f t="shared" si="0"/>
        <v>0.04</v>
      </c>
      <c r="I9" s="582">
        <f t="shared" si="0"/>
        <v>0.04</v>
      </c>
      <c r="J9" s="582">
        <f t="shared" si="0"/>
        <v>0.04</v>
      </c>
      <c r="K9" s="582">
        <f t="shared" si="0"/>
        <v>0.04</v>
      </c>
      <c r="L9" s="582">
        <f t="shared" si="0"/>
        <v>0.04</v>
      </c>
      <c r="M9" s="582">
        <f t="shared" si="0"/>
        <v>0.04</v>
      </c>
      <c r="N9" s="582">
        <f t="shared" si="0"/>
        <v>0.04</v>
      </c>
      <c r="O9" s="582">
        <f t="shared" si="0"/>
        <v>0.04</v>
      </c>
      <c r="P9" s="582">
        <f t="shared" si="0"/>
        <v>0.04</v>
      </c>
      <c r="Q9" s="582">
        <f t="shared" si="0"/>
        <v>0.04</v>
      </c>
      <c r="R9" s="582">
        <f t="shared" si="0"/>
        <v>0.04</v>
      </c>
      <c r="S9" s="582">
        <f t="shared" si="0"/>
        <v>0.04</v>
      </c>
      <c r="T9" s="582">
        <f t="shared" si="0"/>
        <v>0.04</v>
      </c>
      <c r="U9" s="582">
        <f t="shared" si="0"/>
        <v>0.04</v>
      </c>
      <c r="V9" s="582">
        <f t="shared" si="0"/>
        <v>0.04</v>
      </c>
      <c r="W9" s="582">
        <f t="shared" ref="W9:Z9" si="18">V9</f>
        <v>0.04</v>
      </c>
      <c r="X9" s="582">
        <f t="shared" si="18"/>
        <v>0.04</v>
      </c>
      <c r="Y9" s="582">
        <f t="shared" si="18"/>
        <v>0.04</v>
      </c>
      <c r="Z9" s="582">
        <f t="shared" si="18"/>
        <v>0.04</v>
      </c>
      <c r="AA9" s="582">
        <f t="shared" ref="AA9:AG9" si="19">Z9</f>
        <v>0.04</v>
      </c>
      <c r="AB9" s="582">
        <f t="shared" si="19"/>
        <v>0.04</v>
      </c>
      <c r="AC9" s="582">
        <f t="shared" si="19"/>
        <v>0.04</v>
      </c>
      <c r="AD9" s="582">
        <f t="shared" si="19"/>
        <v>0.04</v>
      </c>
      <c r="AE9" s="582">
        <f t="shared" si="19"/>
        <v>0.04</v>
      </c>
      <c r="AF9" s="582">
        <f t="shared" si="19"/>
        <v>0.04</v>
      </c>
      <c r="AG9" s="582">
        <f t="shared" si="19"/>
        <v>0.04</v>
      </c>
      <c r="AH9" s="582">
        <f t="shared" ref="AH9:AM9" si="20">AG9</f>
        <v>0.04</v>
      </c>
      <c r="AI9" s="582">
        <f t="shared" si="20"/>
        <v>0.04</v>
      </c>
      <c r="AJ9" s="582">
        <f t="shared" si="20"/>
        <v>0.04</v>
      </c>
      <c r="AK9" s="582">
        <f t="shared" si="20"/>
        <v>0.04</v>
      </c>
      <c r="AL9" s="582">
        <f t="shared" si="20"/>
        <v>0.04</v>
      </c>
      <c r="AM9" s="582">
        <f t="shared" si="20"/>
        <v>0.04</v>
      </c>
      <c r="AN9" s="582">
        <f t="shared" ref="AN9:BD9" si="21">AM9</f>
        <v>0.04</v>
      </c>
      <c r="AO9" s="582">
        <f t="shared" si="21"/>
        <v>0.04</v>
      </c>
      <c r="AP9" s="582">
        <f t="shared" si="21"/>
        <v>0.04</v>
      </c>
      <c r="AQ9" s="582">
        <f t="shared" si="21"/>
        <v>0.04</v>
      </c>
      <c r="AR9" s="582">
        <f t="shared" si="21"/>
        <v>0.04</v>
      </c>
      <c r="AS9" s="582">
        <f t="shared" si="21"/>
        <v>0.04</v>
      </c>
      <c r="AT9" s="582">
        <f t="shared" si="21"/>
        <v>0.04</v>
      </c>
      <c r="AU9" s="582">
        <f t="shared" si="21"/>
        <v>0.04</v>
      </c>
      <c r="AV9" s="582">
        <f t="shared" si="21"/>
        <v>0.04</v>
      </c>
      <c r="AW9" s="582">
        <f t="shared" si="21"/>
        <v>0.04</v>
      </c>
      <c r="AX9" s="582">
        <f t="shared" si="21"/>
        <v>0.04</v>
      </c>
      <c r="AY9" s="582">
        <f t="shared" si="21"/>
        <v>0.04</v>
      </c>
      <c r="AZ9" s="582">
        <f t="shared" si="21"/>
        <v>0.04</v>
      </c>
      <c r="BA9" s="582">
        <f t="shared" si="21"/>
        <v>0.04</v>
      </c>
      <c r="BB9" s="582">
        <f t="shared" si="21"/>
        <v>0.04</v>
      </c>
      <c r="BC9" s="582">
        <f t="shared" si="21"/>
        <v>0.04</v>
      </c>
      <c r="BD9" s="582">
        <f t="shared" si="21"/>
        <v>0.04</v>
      </c>
    </row>
    <row r="11" spans="1:56" x14ac:dyDescent="0.2">
      <c r="D11" s="591" t="s">
        <v>479</v>
      </c>
    </row>
    <row r="12" spans="1:56" x14ac:dyDescent="0.2">
      <c r="D12" s="2" t="s">
        <v>514</v>
      </c>
    </row>
    <row r="13" spans="1:56" x14ac:dyDescent="0.2">
      <c r="A13" t="s">
        <v>521</v>
      </c>
      <c r="C13" t="s">
        <v>498</v>
      </c>
      <c r="D13" t="s">
        <v>471</v>
      </c>
      <c r="E13" s="586">
        <v>142569</v>
      </c>
      <c r="F13" s="585">
        <f>E30</f>
        <v>148196.64441181347</v>
      </c>
      <c r="G13" s="585">
        <f t="shared" ref="G13:V13" si="22">F30</f>
        <v>154002.64441181347</v>
      </c>
      <c r="H13" s="585">
        <f t="shared" si="22"/>
        <v>159989.64441181347</v>
      </c>
      <c r="I13" s="585">
        <f t="shared" si="22"/>
        <v>166161.64441181347</v>
      </c>
      <c r="J13" s="585">
        <f t="shared" si="22"/>
        <v>172521.64441181347</v>
      </c>
      <c r="K13" s="585">
        <f t="shared" si="22"/>
        <v>179071.64441181347</v>
      </c>
      <c r="L13" s="585">
        <f t="shared" si="22"/>
        <v>185816.64441181347</v>
      </c>
      <c r="M13" s="585">
        <f t="shared" si="22"/>
        <v>192758.64441181347</v>
      </c>
      <c r="N13" s="585">
        <f t="shared" si="22"/>
        <v>199901.64441181347</v>
      </c>
      <c r="O13" s="585">
        <f t="shared" si="22"/>
        <v>207247.64441181347</v>
      </c>
      <c r="P13" s="585">
        <f t="shared" si="22"/>
        <v>214797.64441181347</v>
      </c>
      <c r="Q13" s="585">
        <f t="shared" si="22"/>
        <v>222555.64441181347</v>
      </c>
      <c r="R13" s="585">
        <f t="shared" si="22"/>
        <v>230522.64441181347</v>
      </c>
      <c r="S13" s="585">
        <f t="shared" si="22"/>
        <v>238700.64441181347</v>
      </c>
      <c r="T13" s="585">
        <f t="shared" si="22"/>
        <v>247091.64441181347</v>
      </c>
      <c r="U13" s="585">
        <f t="shared" si="22"/>
        <v>255695.64441181347</v>
      </c>
      <c r="V13" s="585">
        <f t="shared" si="22"/>
        <v>264512.64441181347</v>
      </c>
      <c r="W13" s="585">
        <f t="shared" ref="W13:Z13" si="23">V30</f>
        <v>273543.64441181347</v>
      </c>
      <c r="X13" s="585">
        <f t="shared" si="23"/>
        <v>282788.64441181347</v>
      </c>
      <c r="Y13" s="585">
        <f t="shared" si="23"/>
        <v>292246.64441181347</v>
      </c>
      <c r="Z13" s="585">
        <f t="shared" si="23"/>
        <v>301916.64441181347</v>
      </c>
      <c r="AA13" s="585">
        <f t="shared" ref="AA13:AG13" si="24">Z30</f>
        <v>311796.64441181347</v>
      </c>
      <c r="AB13" s="585">
        <f t="shared" si="24"/>
        <v>321884.64441181347</v>
      </c>
      <c r="AC13" s="585">
        <f t="shared" si="24"/>
        <v>332175.64441181347</v>
      </c>
      <c r="AD13" s="585">
        <f t="shared" si="24"/>
        <v>342665.64441181347</v>
      </c>
      <c r="AE13" s="585">
        <f t="shared" si="24"/>
        <v>353351.64441181347</v>
      </c>
      <c r="AF13" s="585">
        <f t="shared" si="24"/>
        <v>364226.64441181347</v>
      </c>
      <c r="AG13" s="585">
        <f t="shared" si="24"/>
        <v>375284.64441181347</v>
      </c>
      <c r="AH13" s="585">
        <f t="shared" ref="AH13:AM13" si="25">AG30</f>
        <v>386516.64441181347</v>
      </c>
      <c r="AI13" s="585">
        <f t="shared" si="25"/>
        <v>397914.64441181347</v>
      </c>
      <c r="AJ13" s="585">
        <f t="shared" si="25"/>
        <v>409469.64441181347</v>
      </c>
      <c r="AK13" s="585">
        <f t="shared" si="25"/>
        <v>421168.64441181347</v>
      </c>
      <c r="AL13" s="585">
        <f t="shared" si="25"/>
        <v>432998.64441181347</v>
      </c>
      <c r="AM13" s="585">
        <f t="shared" si="25"/>
        <v>444945.64441181347</v>
      </c>
      <c r="AN13" s="585">
        <f t="shared" ref="AN13:BD13" si="26">AM30</f>
        <v>456993.64441181347</v>
      </c>
      <c r="AO13" s="585">
        <f t="shared" si="26"/>
        <v>469125.64441181347</v>
      </c>
      <c r="AP13" s="585">
        <f t="shared" si="26"/>
        <v>481320.64441181347</v>
      </c>
      <c r="AQ13" s="585">
        <f t="shared" si="26"/>
        <v>493556.64441181347</v>
      </c>
      <c r="AR13" s="585">
        <f t="shared" si="26"/>
        <v>505810.64441181347</v>
      </c>
      <c r="AS13" s="585">
        <f t="shared" si="26"/>
        <v>518056.64441181347</v>
      </c>
      <c r="AT13" s="585">
        <f t="shared" si="26"/>
        <v>530266.64441181347</v>
      </c>
      <c r="AU13" s="585">
        <f t="shared" si="26"/>
        <v>542409.64441181347</v>
      </c>
      <c r="AV13" s="585">
        <f t="shared" si="26"/>
        <v>554450.64441181347</v>
      </c>
      <c r="AW13" s="585">
        <f t="shared" si="26"/>
        <v>566352.64441181347</v>
      </c>
      <c r="AX13" s="585">
        <f t="shared" si="26"/>
        <v>578075.64441181347</v>
      </c>
      <c r="AY13" s="585">
        <f t="shared" si="26"/>
        <v>589576.64441181347</v>
      </c>
      <c r="AZ13" s="585">
        <f t="shared" si="26"/>
        <v>600808.64441181347</v>
      </c>
      <c r="BA13" s="585">
        <f t="shared" si="26"/>
        <v>611720.64441181347</v>
      </c>
      <c r="BB13" s="585">
        <f t="shared" si="26"/>
        <v>622255.64441181347</v>
      </c>
      <c r="BC13" s="585">
        <f t="shared" si="26"/>
        <v>632355.64441181347</v>
      </c>
      <c r="BD13" s="585">
        <f t="shared" si="26"/>
        <v>641955.64441181347</v>
      </c>
    </row>
    <row r="14" spans="1:56" x14ac:dyDescent="0.2">
      <c r="A14" t="s">
        <v>520</v>
      </c>
      <c r="C14" t="s">
        <v>499</v>
      </c>
      <c r="D14" t="s">
        <v>472</v>
      </c>
      <c r="E14" s="586">
        <f>'Data Input'!AB12</f>
        <v>113801</v>
      </c>
      <c r="F14" s="586">
        <f>E31</f>
        <v>116367</v>
      </c>
      <c r="G14" s="585">
        <f t="shared" ref="G14:V14" si="27">F31</f>
        <v>120785</v>
      </c>
      <c r="H14" s="585">
        <f t="shared" si="27"/>
        <v>125335</v>
      </c>
      <c r="I14" s="585">
        <f t="shared" si="27"/>
        <v>130018</v>
      </c>
      <c r="J14" s="585">
        <f t="shared" si="27"/>
        <v>134835</v>
      </c>
      <c r="K14" s="585">
        <f t="shared" si="27"/>
        <v>139787</v>
      </c>
      <c r="L14" s="585">
        <f t="shared" si="27"/>
        <v>144875</v>
      </c>
      <c r="M14" s="585">
        <f t="shared" si="27"/>
        <v>150100</v>
      </c>
      <c r="N14" s="585">
        <f t="shared" si="27"/>
        <v>155461</v>
      </c>
      <c r="O14" s="585">
        <f t="shared" si="27"/>
        <v>160958</v>
      </c>
      <c r="P14" s="585">
        <f t="shared" si="27"/>
        <v>166592</v>
      </c>
      <c r="Q14" s="585">
        <f t="shared" si="27"/>
        <v>172360</v>
      </c>
      <c r="R14" s="585">
        <f t="shared" si="27"/>
        <v>178262</v>
      </c>
      <c r="S14" s="585">
        <f t="shared" si="27"/>
        <v>184296</v>
      </c>
      <c r="T14" s="585">
        <f t="shared" si="27"/>
        <v>190458</v>
      </c>
      <c r="U14" s="585">
        <f t="shared" si="27"/>
        <v>196746</v>
      </c>
      <c r="V14" s="585">
        <f t="shared" si="27"/>
        <v>203156</v>
      </c>
      <c r="W14" s="585">
        <f t="shared" ref="W14:Z14" si="28">V31</f>
        <v>209683</v>
      </c>
      <c r="X14" s="585">
        <f t="shared" si="28"/>
        <v>216322</v>
      </c>
      <c r="Y14" s="585">
        <f t="shared" si="28"/>
        <v>223067</v>
      </c>
      <c r="Z14" s="585">
        <f t="shared" si="28"/>
        <v>229911</v>
      </c>
      <c r="AA14" s="585">
        <f t="shared" ref="AA14:AG14" si="29">Z31</f>
        <v>236844</v>
      </c>
      <c r="AB14" s="585">
        <f t="shared" si="29"/>
        <v>243858</v>
      </c>
      <c r="AC14" s="585">
        <f t="shared" si="29"/>
        <v>250941</v>
      </c>
      <c r="AD14" s="585">
        <f t="shared" si="29"/>
        <v>258081</v>
      </c>
      <c r="AE14" s="585">
        <f t="shared" si="29"/>
        <v>265265</v>
      </c>
      <c r="AF14" s="585">
        <f t="shared" si="29"/>
        <v>272477</v>
      </c>
      <c r="AG14" s="585">
        <f t="shared" si="29"/>
        <v>279701</v>
      </c>
      <c r="AH14" s="585">
        <f t="shared" ref="AH14:AM14" si="30">AG31</f>
        <v>286917</v>
      </c>
      <c r="AI14" s="585">
        <f t="shared" si="30"/>
        <v>294105</v>
      </c>
      <c r="AJ14" s="585">
        <f t="shared" si="30"/>
        <v>301242</v>
      </c>
      <c r="AK14" s="585">
        <f t="shared" si="30"/>
        <v>308302</v>
      </c>
      <c r="AL14" s="585">
        <f t="shared" si="30"/>
        <v>315258</v>
      </c>
      <c r="AM14" s="585">
        <f t="shared" si="30"/>
        <v>322078</v>
      </c>
      <c r="AN14" s="585">
        <f t="shared" ref="AN14:BD14" si="31">AM31</f>
        <v>328729</v>
      </c>
      <c r="AO14" s="585">
        <f t="shared" si="31"/>
        <v>335175</v>
      </c>
      <c r="AP14" s="585">
        <f t="shared" si="31"/>
        <v>341376</v>
      </c>
      <c r="AQ14" s="585">
        <f t="shared" si="31"/>
        <v>347287</v>
      </c>
      <c r="AR14" s="585">
        <f t="shared" si="31"/>
        <v>352861</v>
      </c>
      <c r="AS14" s="585">
        <f t="shared" si="31"/>
        <v>358046</v>
      </c>
      <c r="AT14" s="585">
        <f t="shared" si="31"/>
        <v>362785</v>
      </c>
      <c r="AU14" s="585">
        <f t="shared" si="31"/>
        <v>367017</v>
      </c>
      <c r="AV14" s="585">
        <f t="shared" si="31"/>
        <v>370676</v>
      </c>
      <c r="AW14" s="585">
        <f t="shared" si="31"/>
        <v>373689</v>
      </c>
      <c r="AX14" s="585">
        <f t="shared" si="31"/>
        <v>375976</v>
      </c>
      <c r="AY14" s="585">
        <f t="shared" si="31"/>
        <v>377454</v>
      </c>
      <c r="AZ14" s="585">
        <f t="shared" si="31"/>
        <v>378030</v>
      </c>
      <c r="BA14" s="585">
        <f t="shared" si="31"/>
        <v>377605</v>
      </c>
      <c r="BB14" s="585">
        <f t="shared" si="31"/>
        <v>376071</v>
      </c>
      <c r="BC14" s="585">
        <f t="shared" si="31"/>
        <v>373312</v>
      </c>
      <c r="BD14" s="585">
        <f t="shared" si="31"/>
        <v>369202</v>
      </c>
    </row>
    <row r="15" spans="1:56" x14ac:dyDescent="0.2">
      <c r="A15" t="s">
        <v>520</v>
      </c>
      <c r="C15" t="s">
        <v>500</v>
      </c>
      <c r="D15" t="s">
        <v>515</v>
      </c>
      <c r="E15" s="586">
        <f>'Data Input'!AB26</f>
        <v>154476</v>
      </c>
      <c r="F15" s="586">
        <f>E32</f>
        <v>171420</v>
      </c>
      <c r="G15" s="585">
        <f t="shared" ref="G15:V15" si="32">F32</f>
        <v>179701</v>
      </c>
      <c r="H15" s="585">
        <f t="shared" si="32"/>
        <v>188368</v>
      </c>
      <c r="I15" s="585">
        <f t="shared" si="32"/>
        <v>197438</v>
      </c>
      <c r="J15" s="585">
        <f t="shared" si="32"/>
        <v>206930</v>
      </c>
      <c r="K15" s="585">
        <f t="shared" si="32"/>
        <v>216863</v>
      </c>
      <c r="L15" s="585">
        <f t="shared" si="32"/>
        <v>227258</v>
      </c>
      <c r="M15" s="585">
        <f t="shared" si="32"/>
        <v>238136</v>
      </c>
      <c r="N15" s="585">
        <f t="shared" si="32"/>
        <v>249519</v>
      </c>
      <c r="O15" s="585">
        <f t="shared" si="32"/>
        <v>261430</v>
      </c>
      <c r="P15" s="585">
        <f t="shared" si="32"/>
        <v>273779</v>
      </c>
      <c r="Q15" s="585">
        <f t="shared" si="32"/>
        <v>283808</v>
      </c>
      <c r="R15" s="585">
        <f t="shared" si="32"/>
        <v>294021</v>
      </c>
      <c r="S15" s="585">
        <f t="shared" si="32"/>
        <v>304489</v>
      </c>
      <c r="T15" s="585">
        <f t="shared" si="32"/>
        <v>315222</v>
      </c>
      <c r="U15" s="585">
        <f t="shared" si="32"/>
        <v>326231</v>
      </c>
      <c r="V15" s="585">
        <f t="shared" si="32"/>
        <v>337513</v>
      </c>
      <c r="W15" s="585">
        <f t="shared" ref="W15:Z15" si="33">V32</f>
        <v>349071</v>
      </c>
      <c r="X15" s="585">
        <f t="shared" si="33"/>
        <v>360904</v>
      </c>
      <c r="Y15" s="585">
        <f t="shared" si="33"/>
        <v>373010</v>
      </c>
      <c r="Z15" s="585">
        <f t="shared" si="33"/>
        <v>385389</v>
      </c>
      <c r="AA15" s="585">
        <f t="shared" ref="AA15:AG15" si="34">Z32</f>
        <v>398038</v>
      </c>
      <c r="AB15" s="585">
        <f t="shared" si="34"/>
        <v>410955</v>
      </c>
      <c r="AC15" s="585">
        <f t="shared" si="34"/>
        <v>424135</v>
      </c>
      <c r="AD15" s="585">
        <f t="shared" si="34"/>
        <v>437572</v>
      </c>
      <c r="AE15" s="585">
        <f t="shared" si="34"/>
        <v>451260</v>
      </c>
      <c r="AF15" s="585">
        <f t="shared" si="34"/>
        <v>465193</v>
      </c>
      <c r="AG15" s="585">
        <f t="shared" si="34"/>
        <v>479361</v>
      </c>
      <c r="AH15" s="585">
        <f t="shared" ref="AH15:AM15" si="35">AG32</f>
        <v>493757</v>
      </c>
      <c r="AI15" s="585">
        <f t="shared" si="35"/>
        <v>508367</v>
      </c>
      <c r="AJ15" s="585">
        <f t="shared" si="35"/>
        <v>523179</v>
      </c>
      <c r="AK15" s="585">
        <f t="shared" si="35"/>
        <v>538181</v>
      </c>
      <c r="AL15" s="585">
        <f t="shared" si="35"/>
        <v>553354</v>
      </c>
      <c r="AM15" s="585">
        <f t="shared" si="35"/>
        <v>568679</v>
      </c>
      <c r="AN15" s="585">
        <f t="shared" ref="AN15:BD15" si="36">AM32</f>
        <v>584138</v>
      </c>
      <c r="AO15" s="585">
        <f t="shared" si="36"/>
        <v>599706</v>
      </c>
      <c r="AP15" s="585">
        <f t="shared" si="36"/>
        <v>615361</v>
      </c>
      <c r="AQ15" s="585">
        <f t="shared" si="36"/>
        <v>631074</v>
      </c>
      <c r="AR15" s="585">
        <f t="shared" si="36"/>
        <v>646814</v>
      </c>
      <c r="AS15" s="585">
        <f t="shared" si="36"/>
        <v>662548</v>
      </c>
      <c r="AT15" s="585">
        <f t="shared" si="36"/>
        <v>678242</v>
      </c>
      <c r="AU15" s="585">
        <f t="shared" si="36"/>
        <v>693856</v>
      </c>
      <c r="AV15" s="585">
        <f t="shared" si="36"/>
        <v>709347</v>
      </c>
      <c r="AW15" s="585">
        <f t="shared" si="36"/>
        <v>724666</v>
      </c>
      <c r="AX15" s="585">
        <f t="shared" si="36"/>
        <v>739763</v>
      </c>
      <c r="AY15" s="585">
        <f t="shared" si="36"/>
        <v>754582</v>
      </c>
      <c r="AZ15" s="585">
        <f t="shared" si="36"/>
        <v>769063</v>
      </c>
      <c r="BA15" s="585">
        <f t="shared" si="36"/>
        <v>783144</v>
      </c>
      <c r="BB15" s="585">
        <f t="shared" si="36"/>
        <v>796752</v>
      </c>
      <c r="BC15" s="585">
        <f t="shared" si="36"/>
        <v>809811</v>
      </c>
      <c r="BD15" s="585">
        <f t="shared" si="36"/>
        <v>822239</v>
      </c>
    </row>
    <row r="16" spans="1:56" x14ac:dyDescent="0.2">
      <c r="E16" s="585"/>
      <c r="F16" s="585"/>
      <c r="G16" s="585"/>
      <c r="H16" s="585"/>
      <c r="I16" s="585"/>
      <c r="J16" s="585"/>
      <c r="K16" s="585"/>
      <c r="L16" s="585"/>
      <c r="M16" s="585"/>
      <c r="N16" s="585"/>
      <c r="O16" s="585"/>
      <c r="P16" s="585"/>
      <c r="Q16" s="585"/>
      <c r="R16" s="585"/>
      <c r="S16" s="585"/>
      <c r="T16" s="585"/>
      <c r="U16" s="585"/>
      <c r="V16" s="585"/>
      <c r="W16" s="585"/>
      <c r="X16" s="585"/>
      <c r="Y16" s="585"/>
      <c r="Z16" s="585"/>
      <c r="AA16" s="585"/>
      <c r="AB16" s="585"/>
      <c r="AC16" s="585"/>
      <c r="AD16" s="585"/>
      <c r="AE16" s="585"/>
      <c r="AF16" s="585"/>
      <c r="AG16" s="585"/>
      <c r="AH16" s="585"/>
      <c r="AI16" s="585"/>
      <c r="AJ16" s="585"/>
      <c r="AK16" s="585"/>
      <c r="AL16" s="585"/>
      <c r="AM16" s="585"/>
      <c r="AN16" s="585"/>
      <c r="AO16" s="585"/>
      <c r="AP16" s="585"/>
      <c r="AQ16" s="585"/>
      <c r="AR16" s="585"/>
      <c r="AS16" s="585"/>
      <c r="AT16" s="585"/>
      <c r="AU16" s="585"/>
      <c r="AV16" s="585"/>
      <c r="AW16" s="585"/>
      <c r="AX16" s="585"/>
      <c r="AY16" s="585"/>
      <c r="AZ16" s="585"/>
      <c r="BA16" s="585"/>
      <c r="BB16" s="585"/>
      <c r="BC16" s="585"/>
      <c r="BD16" s="585"/>
    </row>
    <row r="17" spans="1:56" x14ac:dyDescent="0.2">
      <c r="A17" t="s">
        <v>520</v>
      </c>
      <c r="C17" t="s">
        <v>553</v>
      </c>
      <c r="D17" t="s">
        <v>473</v>
      </c>
      <c r="E17" s="586">
        <f>'Data Input'!AC32</f>
        <v>1615</v>
      </c>
      <c r="F17" s="585">
        <f>ROUND(E17*(1+F8),0)</f>
        <v>1663</v>
      </c>
      <c r="G17" s="585">
        <f t="shared" ref="G17:V17" si="37">ROUND(F17*(1+G8),0)</f>
        <v>1713</v>
      </c>
      <c r="H17" s="585">
        <f t="shared" si="37"/>
        <v>1764</v>
      </c>
      <c r="I17" s="585">
        <f t="shared" si="37"/>
        <v>1817</v>
      </c>
      <c r="J17" s="585">
        <f t="shared" si="37"/>
        <v>1872</v>
      </c>
      <c r="K17" s="585">
        <f t="shared" si="37"/>
        <v>1928</v>
      </c>
      <c r="L17" s="585">
        <f t="shared" si="37"/>
        <v>1986</v>
      </c>
      <c r="M17" s="585">
        <f t="shared" si="37"/>
        <v>2046</v>
      </c>
      <c r="N17" s="585">
        <f t="shared" si="37"/>
        <v>2107</v>
      </c>
      <c r="O17" s="585">
        <f t="shared" si="37"/>
        <v>2170</v>
      </c>
      <c r="P17" s="585">
        <f t="shared" si="37"/>
        <v>2235</v>
      </c>
      <c r="Q17" s="585">
        <f t="shared" si="37"/>
        <v>2302</v>
      </c>
      <c r="R17" s="585">
        <f t="shared" si="37"/>
        <v>2371</v>
      </c>
      <c r="S17" s="585">
        <f t="shared" si="37"/>
        <v>2442</v>
      </c>
      <c r="T17" s="585">
        <f t="shared" si="37"/>
        <v>2515</v>
      </c>
      <c r="U17" s="585">
        <f t="shared" si="37"/>
        <v>2590</v>
      </c>
      <c r="V17" s="585">
        <f t="shared" si="37"/>
        <v>2668</v>
      </c>
      <c r="W17" s="585">
        <f t="shared" ref="W17:Z17" si="38">ROUND(V17*(1+W8),0)</f>
        <v>2748</v>
      </c>
      <c r="X17" s="585">
        <f t="shared" si="38"/>
        <v>2830</v>
      </c>
      <c r="Y17" s="585">
        <f t="shared" si="38"/>
        <v>2915</v>
      </c>
      <c r="Z17" s="585">
        <f t="shared" si="38"/>
        <v>3002</v>
      </c>
      <c r="AA17" s="585">
        <f t="shared" ref="AA17:AG17" si="39">ROUND(Z17*(1+AA8),0)</f>
        <v>3092</v>
      </c>
      <c r="AB17" s="585">
        <f t="shared" si="39"/>
        <v>3185</v>
      </c>
      <c r="AC17" s="585">
        <f t="shared" si="39"/>
        <v>3281</v>
      </c>
      <c r="AD17" s="585">
        <f t="shared" si="39"/>
        <v>3379</v>
      </c>
      <c r="AE17" s="585">
        <f t="shared" si="39"/>
        <v>3480</v>
      </c>
      <c r="AF17" s="585">
        <f t="shared" si="39"/>
        <v>3584</v>
      </c>
      <c r="AG17" s="585">
        <f t="shared" si="39"/>
        <v>3692</v>
      </c>
      <c r="AH17" s="585">
        <f t="shared" ref="AH17:AM17" si="40">ROUND(AG17*(1+AH8),0)</f>
        <v>3803</v>
      </c>
      <c r="AI17" s="585">
        <f t="shared" si="40"/>
        <v>3917</v>
      </c>
      <c r="AJ17" s="585">
        <f t="shared" si="40"/>
        <v>4035</v>
      </c>
      <c r="AK17" s="585">
        <f t="shared" si="40"/>
        <v>4156</v>
      </c>
      <c r="AL17" s="585">
        <f t="shared" si="40"/>
        <v>4281</v>
      </c>
      <c r="AM17" s="585">
        <f t="shared" si="40"/>
        <v>4409</v>
      </c>
      <c r="AN17" s="585">
        <f t="shared" ref="AN17:BD17" si="41">ROUND(AM17*(1+AN8),0)</f>
        <v>4541</v>
      </c>
      <c r="AO17" s="585">
        <f t="shared" si="41"/>
        <v>4677</v>
      </c>
      <c r="AP17" s="585">
        <f t="shared" si="41"/>
        <v>4817</v>
      </c>
      <c r="AQ17" s="585">
        <f t="shared" si="41"/>
        <v>4962</v>
      </c>
      <c r="AR17" s="585">
        <f t="shared" si="41"/>
        <v>5111</v>
      </c>
      <c r="AS17" s="585">
        <f t="shared" si="41"/>
        <v>5264</v>
      </c>
      <c r="AT17" s="585">
        <f t="shared" si="41"/>
        <v>5422</v>
      </c>
      <c r="AU17" s="585">
        <f t="shared" si="41"/>
        <v>5585</v>
      </c>
      <c r="AV17" s="585">
        <f t="shared" si="41"/>
        <v>5753</v>
      </c>
      <c r="AW17" s="585">
        <f t="shared" si="41"/>
        <v>5926</v>
      </c>
      <c r="AX17" s="585">
        <f t="shared" si="41"/>
        <v>6104</v>
      </c>
      <c r="AY17" s="585">
        <f t="shared" si="41"/>
        <v>6287</v>
      </c>
      <c r="AZ17" s="585">
        <f t="shared" si="41"/>
        <v>6476</v>
      </c>
      <c r="BA17" s="585">
        <f t="shared" si="41"/>
        <v>6670</v>
      </c>
      <c r="BB17" s="585">
        <f t="shared" si="41"/>
        <v>6870</v>
      </c>
      <c r="BC17" s="585">
        <f t="shared" si="41"/>
        <v>7076</v>
      </c>
      <c r="BD17" s="585">
        <f t="shared" si="41"/>
        <v>7288</v>
      </c>
    </row>
    <row r="18" spans="1:56" x14ac:dyDescent="0.2">
      <c r="A18" t="s">
        <v>563</v>
      </c>
      <c r="C18" t="s">
        <v>554</v>
      </c>
      <c r="D18" s="506" t="s">
        <v>555</v>
      </c>
      <c r="E18" s="586"/>
      <c r="F18" s="585"/>
      <c r="G18" s="585"/>
      <c r="H18" s="585">
        <f>H20</f>
        <v>0</v>
      </c>
      <c r="I18" s="585">
        <f t="shared" ref="I18:AM18" si="42">I20</f>
        <v>0</v>
      </c>
      <c r="J18" s="585">
        <f t="shared" si="42"/>
        <v>0</v>
      </c>
      <c r="K18" s="585">
        <f t="shared" si="42"/>
        <v>0</v>
      </c>
      <c r="L18" s="585">
        <f t="shared" si="42"/>
        <v>0</v>
      </c>
      <c r="M18" s="585">
        <f t="shared" si="42"/>
        <v>0</v>
      </c>
      <c r="N18" s="585">
        <f t="shared" si="42"/>
        <v>0</v>
      </c>
      <c r="O18" s="585">
        <f t="shared" si="42"/>
        <v>-55.5</v>
      </c>
      <c r="P18" s="585">
        <f t="shared" si="42"/>
        <v>-1457.5</v>
      </c>
      <c r="Q18" s="585">
        <f t="shared" si="42"/>
        <v>-1570</v>
      </c>
      <c r="R18" s="585">
        <f t="shared" si="42"/>
        <v>-1649.5</v>
      </c>
      <c r="S18" s="585">
        <f t="shared" si="42"/>
        <v>-1726</v>
      </c>
      <c r="T18" s="585">
        <f t="shared" si="42"/>
        <v>-1800.5</v>
      </c>
      <c r="U18" s="585">
        <f t="shared" si="42"/>
        <v>-1879</v>
      </c>
      <c r="V18" s="585">
        <f t="shared" si="42"/>
        <v>-1959.5</v>
      </c>
      <c r="W18" s="585">
        <f t="shared" si="42"/>
        <v>-2042.5</v>
      </c>
      <c r="X18" s="585">
        <f t="shared" si="42"/>
        <v>-2129</v>
      </c>
      <c r="Y18" s="585">
        <f t="shared" si="42"/>
        <v>-2217.5</v>
      </c>
      <c r="Z18" s="585">
        <f t="shared" si="42"/>
        <v>-2308</v>
      </c>
      <c r="AA18" s="585">
        <f t="shared" si="42"/>
        <v>-2401.5</v>
      </c>
      <c r="AB18" s="585">
        <f t="shared" si="42"/>
        <v>-2498</v>
      </c>
      <c r="AC18" s="585">
        <f t="shared" si="42"/>
        <v>-2597.5</v>
      </c>
      <c r="AD18" s="585">
        <f t="shared" si="42"/>
        <v>-2700</v>
      </c>
      <c r="AE18" s="585">
        <f t="shared" si="42"/>
        <v>-2804.5</v>
      </c>
      <c r="AF18" s="585">
        <f t="shared" si="42"/>
        <v>-2912.5</v>
      </c>
      <c r="AG18" s="585">
        <f t="shared" si="42"/>
        <v>-3022</v>
      </c>
      <c r="AH18" s="585">
        <f t="shared" si="42"/>
        <v>-3136</v>
      </c>
      <c r="AI18" s="585">
        <f t="shared" si="42"/>
        <v>-3252.5</v>
      </c>
      <c r="AJ18" s="585">
        <f t="shared" si="42"/>
        <v>-3370.5</v>
      </c>
      <c r="AK18" s="585">
        <f t="shared" si="42"/>
        <v>-3492.5</v>
      </c>
      <c r="AL18" s="585">
        <f t="shared" si="42"/>
        <v>-3617.5</v>
      </c>
      <c r="AM18" s="585">
        <f t="shared" si="42"/>
        <v>-3744</v>
      </c>
      <c r="AN18" s="585">
        <f t="shared" ref="AN18:BD18" si="43">AN20</f>
        <v>-3874.5</v>
      </c>
      <c r="AO18" s="585">
        <f t="shared" si="43"/>
        <v>-4006</v>
      </c>
      <c r="AP18" s="585">
        <f t="shared" si="43"/>
        <v>-4141</v>
      </c>
      <c r="AQ18" s="585">
        <f t="shared" si="43"/>
        <v>-4279.5</v>
      </c>
      <c r="AR18" s="585">
        <f t="shared" si="43"/>
        <v>-4420</v>
      </c>
      <c r="AS18" s="585">
        <f t="shared" si="43"/>
        <v>-4561.5</v>
      </c>
      <c r="AT18" s="585">
        <f t="shared" si="43"/>
        <v>-4706</v>
      </c>
      <c r="AU18" s="585">
        <f t="shared" si="43"/>
        <v>-4852.5</v>
      </c>
      <c r="AV18" s="585">
        <f t="shared" si="43"/>
        <v>-5002</v>
      </c>
      <c r="AW18" s="585">
        <f t="shared" si="43"/>
        <v>-5152.5</v>
      </c>
      <c r="AX18" s="585">
        <f t="shared" si="43"/>
        <v>-5305</v>
      </c>
      <c r="AY18" s="585">
        <f t="shared" si="43"/>
        <v>-5458.5</v>
      </c>
      <c r="AZ18" s="585">
        <f t="shared" si="43"/>
        <v>-5612</v>
      </c>
      <c r="BA18" s="585">
        <f t="shared" si="43"/>
        <v>-5767</v>
      </c>
      <c r="BB18" s="585">
        <f t="shared" si="43"/>
        <v>-5922.5</v>
      </c>
      <c r="BC18" s="585">
        <f t="shared" si="43"/>
        <v>-6078</v>
      </c>
      <c r="BD18" s="585">
        <f t="shared" si="43"/>
        <v>-6233</v>
      </c>
    </row>
    <row r="19" spans="1:56" x14ac:dyDescent="0.2">
      <c r="A19" t="s">
        <v>520</v>
      </c>
      <c r="C19" t="s">
        <v>549</v>
      </c>
      <c r="D19" t="s">
        <v>474</v>
      </c>
      <c r="E19" s="586">
        <f>'Data Input'!AC33+'Data Input'!AC34+'Data Input'!AC35+'Data Input'!AC36</f>
        <v>1684</v>
      </c>
      <c r="F19" s="585">
        <f>ROUND(E19*(1+F8),0)</f>
        <v>1735</v>
      </c>
      <c r="G19" s="585">
        <f t="shared" ref="G19:V19" si="44">ROUND(F19*(1+G8),0)</f>
        <v>1787</v>
      </c>
      <c r="H19" s="585">
        <f t="shared" si="44"/>
        <v>1841</v>
      </c>
      <c r="I19" s="585">
        <f t="shared" si="44"/>
        <v>1896</v>
      </c>
      <c r="J19" s="585">
        <f t="shared" si="44"/>
        <v>1953</v>
      </c>
      <c r="K19" s="585">
        <f t="shared" si="44"/>
        <v>2012</v>
      </c>
      <c r="L19" s="585">
        <f t="shared" si="44"/>
        <v>2072</v>
      </c>
      <c r="M19" s="585">
        <f t="shared" si="44"/>
        <v>2134</v>
      </c>
      <c r="N19" s="585">
        <f t="shared" si="44"/>
        <v>2198</v>
      </c>
      <c r="O19" s="585">
        <f t="shared" si="44"/>
        <v>2264</v>
      </c>
      <c r="P19" s="585">
        <f t="shared" si="44"/>
        <v>2332</v>
      </c>
      <c r="Q19" s="585">
        <f t="shared" si="44"/>
        <v>2402</v>
      </c>
      <c r="R19" s="585">
        <f t="shared" si="44"/>
        <v>2474</v>
      </c>
      <c r="S19" s="585">
        <f t="shared" si="44"/>
        <v>2548</v>
      </c>
      <c r="T19" s="585">
        <f t="shared" si="44"/>
        <v>2624</v>
      </c>
      <c r="U19" s="585">
        <f t="shared" si="44"/>
        <v>2703</v>
      </c>
      <c r="V19" s="585">
        <f t="shared" si="44"/>
        <v>2784</v>
      </c>
      <c r="W19" s="585">
        <f t="shared" ref="W19:Z19" si="45">ROUND(V19*(1+W8),0)</f>
        <v>2868</v>
      </c>
      <c r="X19" s="585">
        <f t="shared" si="45"/>
        <v>2954</v>
      </c>
      <c r="Y19" s="585">
        <f t="shared" si="45"/>
        <v>3043</v>
      </c>
      <c r="Z19" s="585">
        <f t="shared" si="45"/>
        <v>3134</v>
      </c>
      <c r="AA19" s="585">
        <f t="shared" ref="AA19:AG19" si="46">ROUND(Z19*(1+AA8),0)</f>
        <v>3228</v>
      </c>
      <c r="AB19" s="585">
        <f t="shared" si="46"/>
        <v>3325</v>
      </c>
      <c r="AC19" s="585">
        <f t="shared" si="46"/>
        <v>3425</v>
      </c>
      <c r="AD19" s="585">
        <f t="shared" si="46"/>
        <v>3528</v>
      </c>
      <c r="AE19" s="585">
        <f t="shared" si="46"/>
        <v>3634</v>
      </c>
      <c r="AF19" s="585">
        <f t="shared" si="46"/>
        <v>3743</v>
      </c>
      <c r="AG19" s="585">
        <f t="shared" si="46"/>
        <v>3855</v>
      </c>
      <c r="AH19" s="585">
        <f t="shared" ref="AH19:AM19" si="47">ROUND(AG19*(1+AH8),0)</f>
        <v>3971</v>
      </c>
      <c r="AI19" s="585">
        <f t="shared" si="47"/>
        <v>4090</v>
      </c>
      <c r="AJ19" s="585">
        <f t="shared" si="47"/>
        <v>4213</v>
      </c>
      <c r="AK19" s="585">
        <f t="shared" si="47"/>
        <v>4339</v>
      </c>
      <c r="AL19" s="585">
        <f t="shared" si="47"/>
        <v>4469</v>
      </c>
      <c r="AM19" s="585">
        <f t="shared" si="47"/>
        <v>4603</v>
      </c>
      <c r="AN19" s="585">
        <f t="shared" ref="AN19:BD19" si="48">ROUND(AM19*(1+AN8),0)</f>
        <v>4741</v>
      </c>
      <c r="AO19" s="585">
        <f t="shared" si="48"/>
        <v>4883</v>
      </c>
      <c r="AP19" s="585">
        <f t="shared" si="48"/>
        <v>5029</v>
      </c>
      <c r="AQ19" s="585">
        <f t="shared" si="48"/>
        <v>5180</v>
      </c>
      <c r="AR19" s="585">
        <f t="shared" si="48"/>
        <v>5335</v>
      </c>
      <c r="AS19" s="585">
        <f t="shared" si="48"/>
        <v>5495</v>
      </c>
      <c r="AT19" s="585">
        <f t="shared" si="48"/>
        <v>5660</v>
      </c>
      <c r="AU19" s="585">
        <f t="shared" si="48"/>
        <v>5830</v>
      </c>
      <c r="AV19" s="585">
        <f t="shared" si="48"/>
        <v>6005</v>
      </c>
      <c r="AW19" s="585">
        <f t="shared" si="48"/>
        <v>6185</v>
      </c>
      <c r="AX19" s="585">
        <f t="shared" si="48"/>
        <v>6371</v>
      </c>
      <c r="AY19" s="585">
        <f t="shared" si="48"/>
        <v>6562</v>
      </c>
      <c r="AZ19" s="585">
        <f t="shared" si="48"/>
        <v>6759</v>
      </c>
      <c r="BA19" s="585">
        <f t="shared" si="48"/>
        <v>6962</v>
      </c>
      <c r="BB19" s="585">
        <f t="shared" si="48"/>
        <v>7171</v>
      </c>
      <c r="BC19" s="585">
        <f t="shared" si="48"/>
        <v>7386</v>
      </c>
      <c r="BD19" s="585">
        <f t="shared" si="48"/>
        <v>7608</v>
      </c>
    </row>
    <row r="20" spans="1:56" x14ac:dyDescent="0.2">
      <c r="A20" t="s">
        <v>562</v>
      </c>
      <c r="C20" t="s">
        <v>550</v>
      </c>
      <c r="D20" s="506" t="s">
        <v>551</v>
      </c>
      <c r="E20" s="586"/>
      <c r="F20" s="585"/>
      <c r="G20" s="585"/>
      <c r="H20" s="585">
        <f>-G56</f>
        <v>0</v>
      </c>
      <c r="I20" s="585">
        <f t="shared" ref="I20:AM20" si="49">-H56</f>
        <v>0</v>
      </c>
      <c r="J20" s="585">
        <f t="shared" si="49"/>
        <v>0</v>
      </c>
      <c r="K20" s="585">
        <f t="shared" si="49"/>
        <v>0</v>
      </c>
      <c r="L20" s="585">
        <f t="shared" si="49"/>
        <v>0</v>
      </c>
      <c r="M20" s="585">
        <f t="shared" si="49"/>
        <v>0</v>
      </c>
      <c r="N20" s="585">
        <f t="shared" si="49"/>
        <v>0</v>
      </c>
      <c r="O20" s="585">
        <f t="shared" si="49"/>
        <v>-55.5</v>
      </c>
      <c r="P20" s="585">
        <f t="shared" si="49"/>
        <v>-1457.5</v>
      </c>
      <c r="Q20" s="585">
        <f t="shared" si="49"/>
        <v>-1570</v>
      </c>
      <c r="R20" s="585">
        <f t="shared" si="49"/>
        <v>-1649.5</v>
      </c>
      <c r="S20" s="585">
        <f t="shared" si="49"/>
        <v>-1726</v>
      </c>
      <c r="T20" s="585">
        <f t="shared" si="49"/>
        <v>-1800.5</v>
      </c>
      <c r="U20" s="585">
        <f t="shared" si="49"/>
        <v>-1879</v>
      </c>
      <c r="V20" s="585">
        <f t="shared" si="49"/>
        <v>-1959.5</v>
      </c>
      <c r="W20" s="585">
        <f t="shared" si="49"/>
        <v>-2042.5</v>
      </c>
      <c r="X20" s="585">
        <f t="shared" si="49"/>
        <v>-2129</v>
      </c>
      <c r="Y20" s="585">
        <f t="shared" si="49"/>
        <v>-2217.5</v>
      </c>
      <c r="Z20" s="585">
        <f t="shared" si="49"/>
        <v>-2308</v>
      </c>
      <c r="AA20" s="585">
        <f t="shared" si="49"/>
        <v>-2401.5</v>
      </c>
      <c r="AB20" s="585">
        <f t="shared" si="49"/>
        <v>-2498</v>
      </c>
      <c r="AC20" s="585">
        <f t="shared" si="49"/>
        <v>-2597.5</v>
      </c>
      <c r="AD20" s="585">
        <f t="shared" si="49"/>
        <v>-2700</v>
      </c>
      <c r="AE20" s="585">
        <f t="shared" si="49"/>
        <v>-2804.5</v>
      </c>
      <c r="AF20" s="585">
        <f t="shared" si="49"/>
        <v>-2912.5</v>
      </c>
      <c r="AG20" s="585">
        <f t="shared" si="49"/>
        <v>-3022</v>
      </c>
      <c r="AH20" s="585">
        <f t="shared" si="49"/>
        <v>-3136</v>
      </c>
      <c r="AI20" s="585">
        <f t="shared" si="49"/>
        <v>-3252.5</v>
      </c>
      <c r="AJ20" s="585">
        <f t="shared" si="49"/>
        <v>-3370.5</v>
      </c>
      <c r="AK20" s="585">
        <f t="shared" si="49"/>
        <v>-3492.5</v>
      </c>
      <c r="AL20" s="585">
        <f t="shared" si="49"/>
        <v>-3617.5</v>
      </c>
      <c r="AM20" s="585">
        <f t="shared" si="49"/>
        <v>-3744</v>
      </c>
      <c r="AN20" s="585">
        <f t="shared" ref="AN20:BD20" si="50">-AM56</f>
        <v>-3874.5</v>
      </c>
      <c r="AO20" s="585">
        <f t="shared" si="50"/>
        <v>-4006</v>
      </c>
      <c r="AP20" s="585">
        <f t="shared" si="50"/>
        <v>-4141</v>
      </c>
      <c r="AQ20" s="585">
        <f t="shared" si="50"/>
        <v>-4279.5</v>
      </c>
      <c r="AR20" s="585">
        <f t="shared" si="50"/>
        <v>-4420</v>
      </c>
      <c r="AS20" s="585">
        <f t="shared" si="50"/>
        <v>-4561.5</v>
      </c>
      <c r="AT20" s="585">
        <f t="shared" si="50"/>
        <v>-4706</v>
      </c>
      <c r="AU20" s="585">
        <f t="shared" si="50"/>
        <v>-4852.5</v>
      </c>
      <c r="AV20" s="585">
        <f t="shared" si="50"/>
        <v>-5002</v>
      </c>
      <c r="AW20" s="585">
        <f t="shared" si="50"/>
        <v>-5152.5</v>
      </c>
      <c r="AX20" s="585">
        <f t="shared" si="50"/>
        <v>-5305</v>
      </c>
      <c r="AY20" s="585">
        <f t="shared" si="50"/>
        <v>-5458.5</v>
      </c>
      <c r="AZ20" s="585">
        <f t="shared" si="50"/>
        <v>-5612</v>
      </c>
      <c r="BA20" s="585">
        <f t="shared" si="50"/>
        <v>-5767</v>
      </c>
      <c r="BB20" s="585">
        <f t="shared" si="50"/>
        <v>-5922.5</v>
      </c>
      <c r="BC20" s="585">
        <f t="shared" si="50"/>
        <v>-6078</v>
      </c>
      <c r="BD20" s="585">
        <f t="shared" si="50"/>
        <v>-6233</v>
      </c>
    </row>
    <row r="21" spans="1:56" x14ac:dyDescent="0.2">
      <c r="A21" t="s">
        <v>520</v>
      </c>
      <c r="C21" t="s">
        <v>503</v>
      </c>
      <c r="D21" t="s">
        <v>475</v>
      </c>
      <c r="E21" s="586">
        <f>'Data Input'!AC18</f>
        <v>-5536</v>
      </c>
      <c r="F21" s="585">
        <f>ROUND(E21*(1+F9),0)</f>
        <v>-5757</v>
      </c>
      <c r="G21" s="585">
        <f t="shared" ref="G21:V21" si="51">ROUND(F21*(1+G9),0)</f>
        <v>-5987</v>
      </c>
      <c r="H21" s="585">
        <f t="shared" si="51"/>
        <v>-6226</v>
      </c>
      <c r="I21" s="585">
        <f t="shared" si="51"/>
        <v>-6475</v>
      </c>
      <c r="J21" s="585">
        <f t="shared" si="51"/>
        <v>-6734</v>
      </c>
      <c r="K21" s="585">
        <f t="shared" si="51"/>
        <v>-7003</v>
      </c>
      <c r="L21" s="585">
        <f t="shared" si="51"/>
        <v>-7283</v>
      </c>
      <c r="M21" s="585">
        <f t="shared" si="51"/>
        <v>-7574</v>
      </c>
      <c r="N21" s="585">
        <f t="shared" si="51"/>
        <v>-7877</v>
      </c>
      <c r="O21" s="585">
        <f t="shared" si="51"/>
        <v>-8192</v>
      </c>
      <c r="P21" s="585">
        <f t="shared" si="51"/>
        <v>-8520</v>
      </c>
      <c r="Q21" s="585">
        <f t="shared" si="51"/>
        <v>-8861</v>
      </c>
      <c r="R21" s="585">
        <f t="shared" si="51"/>
        <v>-9215</v>
      </c>
      <c r="S21" s="585">
        <f t="shared" si="51"/>
        <v>-9584</v>
      </c>
      <c r="T21" s="585">
        <f t="shared" si="51"/>
        <v>-9967</v>
      </c>
      <c r="U21" s="585">
        <f t="shared" si="51"/>
        <v>-10366</v>
      </c>
      <c r="V21" s="585">
        <f t="shared" si="51"/>
        <v>-10781</v>
      </c>
      <c r="W21" s="585">
        <f t="shared" ref="W21:Z21" si="52">ROUND(V21*(1+W9),0)</f>
        <v>-11212</v>
      </c>
      <c r="X21" s="585">
        <f t="shared" si="52"/>
        <v>-11660</v>
      </c>
      <c r="Y21" s="585">
        <f t="shared" si="52"/>
        <v>-12126</v>
      </c>
      <c r="Z21" s="585">
        <f t="shared" si="52"/>
        <v>-12611</v>
      </c>
      <c r="AA21" s="585">
        <f t="shared" ref="AA21:AG21" si="53">ROUND(Z21*(1+AA9),0)</f>
        <v>-13115</v>
      </c>
      <c r="AB21" s="585">
        <f t="shared" si="53"/>
        <v>-13640</v>
      </c>
      <c r="AC21" s="585">
        <f t="shared" si="53"/>
        <v>-14186</v>
      </c>
      <c r="AD21" s="585">
        <f t="shared" si="53"/>
        <v>-14753</v>
      </c>
      <c r="AE21" s="585">
        <f t="shared" si="53"/>
        <v>-15343</v>
      </c>
      <c r="AF21" s="585">
        <f t="shared" si="53"/>
        <v>-15957</v>
      </c>
      <c r="AG21" s="585">
        <f t="shared" si="53"/>
        <v>-16595</v>
      </c>
      <c r="AH21" s="585">
        <f t="shared" ref="AH21:AM21" si="54">ROUND(AG21*(1+AH9),0)</f>
        <v>-17259</v>
      </c>
      <c r="AI21" s="585">
        <f t="shared" si="54"/>
        <v>-17949</v>
      </c>
      <c r="AJ21" s="585">
        <f t="shared" si="54"/>
        <v>-18667</v>
      </c>
      <c r="AK21" s="585">
        <f t="shared" si="54"/>
        <v>-19414</v>
      </c>
      <c r="AL21" s="585">
        <f t="shared" si="54"/>
        <v>-20191</v>
      </c>
      <c r="AM21" s="585">
        <f t="shared" si="54"/>
        <v>-20999</v>
      </c>
      <c r="AN21" s="585">
        <f t="shared" ref="AN21:BD21" si="55">ROUND(AM21*(1+AN9),0)</f>
        <v>-21839</v>
      </c>
      <c r="AO21" s="585">
        <f t="shared" si="55"/>
        <v>-22713</v>
      </c>
      <c r="AP21" s="585">
        <f t="shared" si="55"/>
        <v>-23622</v>
      </c>
      <c r="AQ21" s="585">
        <f t="shared" si="55"/>
        <v>-24567</v>
      </c>
      <c r="AR21" s="585">
        <f t="shared" si="55"/>
        <v>-25550</v>
      </c>
      <c r="AS21" s="585">
        <f t="shared" si="55"/>
        <v>-26572</v>
      </c>
      <c r="AT21" s="585">
        <f t="shared" si="55"/>
        <v>-27635</v>
      </c>
      <c r="AU21" s="585">
        <f t="shared" si="55"/>
        <v>-28740</v>
      </c>
      <c r="AV21" s="585">
        <f t="shared" si="55"/>
        <v>-29890</v>
      </c>
      <c r="AW21" s="585">
        <f t="shared" si="55"/>
        <v>-31086</v>
      </c>
      <c r="AX21" s="585">
        <f t="shared" si="55"/>
        <v>-32329</v>
      </c>
      <c r="AY21" s="585">
        <f t="shared" si="55"/>
        <v>-33622</v>
      </c>
      <c r="AZ21" s="585">
        <f t="shared" si="55"/>
        <v>-34967</v>
      </c>
      <c r="BA21" s="585">
        <f t="shared" si="55"/>
        <v>-36366</v>
      </c>
      <c r="BB21" s="585">
        <f t="shared" si="55"/>
        <v>-37821</v>
      </c>
      <c r="BC21" s="585">
        <f t="shared" si="55"/>
        <v>-39334</v>
      </c>
      <c r="BD21" s="585">
        <f t="shared" si="55"/>
        <v>-40907</v>
      </c>
    </row>
    <row r="22" spans="1:56" x14ac:dyDescent="0.2">
      <c r="A22" t="s">
        <v>516</v>
      </c>
      <c r="B22" s="583">
        <f>54774/(38817+3406)</f>
        <v>1.2972550505648581</v>
      </c>
      <c r="C22" t="s">
        <v>504</v>
      </c>
      <c r="D22" t="s">
        <v>486</v>
      </c>
      <c r="E22" s="584">
        <f>B22*(E17+E19)</f>
        <v>4279.6444118134668</v>
      </c>
      <c r="F22" s="585">
        <f>ROUND(E22*(1+F8),0)</f>
        <v>4408</v>
      </c>
      <c r="G22" s="585">
        <f t="shared" ref="G22:V22" si="56">ROUND(F22*(1+G8),0)</f>
        <v>4540</v>
      </c>
      <c r="H22" s="585">
        <f t="shared" si="56"/>
        <v>4676</v>
      </c>
      <c r="I22" s="585">
        <f t="shared" si="56"/>
        <v>4816</v>
      </c>
      <c r="J22" s="585">
        <f t="shared" si="56"/>
        <v>4960</v>
      </c>
      <c r="K22" s="585">
        <f t="shared" si="56"/>
        <v>5109</v>
      </c>
      <c r="L22" s="585">
        <f t="shared" si="56"/>
        <v>5262</v>
      </c>
      <c r="M22" s="585">
        <f t="shared" si="56"/>
        <v>5420</v>
      </c>
      <c r="N22" s="585">
        <f t="shared" si="56"/>
        <v>5583</v>
      </c>
      <c r="O22" s="585">
        <f t="shared" si="56"/>
        <v>5750</v>
      </c>
      <c r="P22" s="585">
        <f t="shared" si="56"/>
        <v>5923</v>
      </c>
      <c r="Q22" s="585">
        <f t="shared" si="56"/>
        <v>6101</v>
      </c>
      <c r="R22" s="585">
        <f t="shared" si="56"/>
        <v>6284</v>
      </c>
      <c r="S22" s="585">
        <f t="shared" si="56"/>
        <v>6473</v>
      </c>
      <c r="T22" s="585">
        <f t="shared" si="56"/>
        <v>6667</v>
      </c>
      <c r="U22" s="585">
        <f t="shared" si="56"/>
        <v>6867</v>
      </c>
      <c r="V22" s="585">
        <f t="shared" si="56"/>
        <v>7073</v>
      </c>
      <c r="W22" s="585">
        <f t="shared" ref="W22:Z22" si="57">ROUND(V22*(1+W8),0)</f>
        <v>7285</v>
      </c>
      <c r="X22" s="585">
        <f t="shared" si="57"/>
        <v>7504</v>
      </c>
      <c r="Y22" s="585">
        <f t="shared" si="57"/>
        <v>7729</v>
      </c>
      <c r="Z22" s="585">
        <f t="shared" si="57"/>
        <v>7961</v>
      </c>
      <c r="AA22" s="585">
        <f t="shared" ref="AA22:AG22" si="58">ROUND(Z22*(1+AA8),0)</f>
        <v>8200</v>
      </c>
      <c r="AB22" s="585">
        <f t="shared" si="58"/>
        <v>8446</v>
      </c>
      <c r="AC22" s="585">
        <f t="shared" si="58"/>
        <v>8699</v>
      </c>
      <c r="AD22" s="585">
        <f t="shared" si="58"/>
        <v>8960</v>
      </c>
      <c r="AE22" s="585">
        <f t="shared" si="58"/>
        <v>9229</v>
      </c>
      <c r="AF22" s="585">
        <f t="shared" si="58"/>
        <v>9506</v>
      </c>
      <c r="AG22" s="585">
        <f t="shared" si="58"/>
        <v>9791</v>
      </c>
      <c r="AH22" s="585">
        <f t="shared" ref="AH22:AM22" si="59">ROUND(AG22*(1+AH8),0)</f>
        <v>10085</v>
      </c>
      <c r="AI22" s="585">
        <f t="shared" si="59"/>
        <v>10388</v>
      </c>
      <c r="AJ22" s="585">
        <f t="shared" si="59"/>
        <v>10700</v>
      </c>
      <c r="AK22" s="585">
        <f t="shared" si="59"/>
        <v>11021</v>
      </c>
      <c r="AL22" s="585">
        <f t="shared" si="59"/>
        <v>11352</v>
      </c>
      <c r="AM22" s="585">
        <f t="shared" si="59"/>
        <v>11693</v>
      </c>
      <c r="AN22" s="585">
        <f t="shared" ref="AN22:BD22" si="60">ROUND(AM22*(1+AN8),0)</f>
        <v>12044</v>
      </c>
      <c r="AO22" s="585">
        <f t="shared" si="60"/>
        <v>12405</v>
      </c>
      <c r="AP22" s="585">
        <f t="shared" si="60"/>
        <v>12777</v>
      </c>
      <c r="AQ22" s="585">
        <f t="shared" si="60"/>
        <v>13160</v>
      </c>
      <c r="AR22" s="585">
        <f t="shared" si="60"/>
        <v>13555</v>
      </c>
      <c r="AS22" s="585">
        <f t="shared" si="60"/>
        <v>13962</v>
      </c>
      <c r="AT22" s="585">
        <f t="shared" si="60"/>
        <v>14381</v>
      </c>
      <c r="AU22" s="585">
        <f t="shared" si="60"/>
        <v>14812</v>
      </c>
      <c r="AV22" s="585">
        <f t="shared" si="60"/>
        <v>15256</v>
      </c>
      <c r="AW22" s="585">
        <f t="shared" si="60"/>
        <v>15714</v>
      </c>
      <c r="AX22" s="585">
        <f t="shared" si="60"/>
        <v>16185</v>
      </c>
      <c r="AY22" s="585">
        <f t="shared" si="60"/>
        <v>16671</v>
      </c>
      <c r="AZ22" s="585">
        <f t="shared" si="60"/>
        <v>17171</v>
      </c>
      <c r="BA22" s="585">
        <f t="shared" si="60"/>
        <v>17686</v>
      </c>
      <c r="BB22" s="585">
        <f t="shared" si="60"/>
        <v>18217</v>
      </c>
      <c r="BC22" s="585">
        <f t="shared" si="60"/>
        <v>18764</v>
      </c>
      <c r="BD22" s="585">
        <f t="shared" si="60"/>
        <v>19327</v>
      </c>
    </row>
    <row r="23" spans="1:56" x14ac:dyDescent="0.2">
      <c r="A23" t="s">
        <v>520</v>
      </c>
      <c r="C23" t="s">
        <v>505</v>
      </c>
      <c r="D23" t="s">
        <v>487</v>
      </c>
      <c r="E23" s="586">
        <f>'Data Input'!AC14</f>
        <v>2902</v>
      </c>
      <c r="F23" s="585">
        <f>ROUND(E23*(1+F8),0)</f>
        <v>2989</v>
      </c>
      <c r="G23" s="585">
        <f t="shared" ref="G23:V23" si="61">ROUND(F23*(1+G8),0)</f>
        <v>3079</v>
      </c>
      <c r="H23" s="585">
        <f t="shared" si="61"/>
        <v>3171</v>
      </c>
      <c r="I23" s="585">
        <f t="shared" si="61"/>
        <v>3266</v>
      </c>
      <c r="J23" s="585">
        <f t="shared" si="61"/>
        <v>3364</v>
      </c>
      <c r="K23" s="585">
        <f t="shared" si="61"/>
        <v>3465</v>
      </c>
      <c r="L23" s="585">
        <f t="shared" si="61"/>
        <v>3569</v>
      </c>
      <c r="M23" s="585">
        <f t="shared" si="61"/>
        <v>3676</v>
      </c>
      <c r="N23" s="585">
        <f t="shared" si="61"/>
        <v>3786</v>
      </c>
      <c r="O23" s="585">
        <f t="shared" si="61"/>
        <v>3900</v>
      </c>
      <c r="P23" s="585">
        <f t="shared" si="61"/>
        <v>4017</v>
      </c>
      <c r="Q23" s="585">
        <f t="shared" si="61"/>
        <v>4138</v>
      </c>
      <c r="R23" s="585">
        <f t="shared" si="61"/>
        <v>4262</v>
      </c>
      <c r="S23" s="585">
        <f t="shared" si="61"/>
        <v>4390</v>
      </c>
      <c r="T23" s="585">
        <f t="shared" si="61"/>
        <v>4522</v>
      </c>
      <c r="U23" s="585">
        <f t="shared" si="61"/>
        <v>4658</v>
      </c>
      <c r="V23" s="585">
        <f t="shared" si="61"/>
        <v>4798</v>
      </c>
      <c r="W23" s="585">
        <f t="shared" ref="W23:Z23" si="62">ROUND(V23*(1+W8),0)</f>
        <v>4942</v>
      </c>
      <c r="X23" s="585">
        <f t="shared" si="62"/>
        <v>5090</v>
      </c>
      <c r="Y23" s="585">
        <f t="shared" si="62"/>
        <v>5243</v>
      </c>
      <c r="Z23" s="585">
        <f t="shared" si="62"/>
        <v>5400</v>
      </c>
      <c r="AA23" s="585">
        <f t="shared" ref="AA23:AG23" si="63">ROUND(Z23*(1+AA8),0)</f>
        <v>5562</v>
      </c>
      <c r="AB23" s="585">
        <f t="shared" si="63"/>
        <v>5729</v>
      </c>
      <c r="AC23" s="585">
        <f t="shared" si="63"/>
        <v>5901</v>
      </c>
      <c r="AD23" s="585">
        <f t="shared" si="63"/>
        <v>6078</v>
      </c>
      <c r="AE23" s="585">
        <f t="shared" si="63"/>
        <v>6260</v>
      </c>
      <c r="AF23" s="585">
        <f t="shared" si="63"/>
        <v>6448</v>
      </c>
      <c r="AG23" s="585">
        <f t="shared" si="63"/>
        <v>6641</v>
      </c>
      <c r="AH23" s="585">
        <f t="shared" ref="AH23:AM23" si="64">ROUND(AG23*(1+AH8),0)</f>
        <v>6840</v>
      </c>
      <c r="AI23" s="585">
        <f t="shared" si="64"/>
        <v>7045</v>
      </c>
      <c r="AJ23" s="585">
        <f t="shared" si="64"/>
        <v>7256</v>
      </c>
      <c r="AK23" s="585">
        <f t="shared" si="64"/>
        <v>7474</v>
      </c>
      <c r="AL23" s="585">
        <f t="shared" si="64"/>
        <v>7698</v>
      </c>
      <c r="AM23" s="585">
        <f t="shared" si="64"/>
        <v>7929</v>
      </c>
      <c r="AN23" s="585">
        <f t="shared" ref="AN23:BD23" si="65">ROUND(AM23*(1+AN8),0)</f>
        <v>8167</v>
      </c>
      <c r="AO23" s="585">
        <f t="shared" si="65"/>
        <v>8412</v>
      </c>
      <c r="AP23" s="585">
        <f t="shared" si="65"/>
        <v>8664</v>
      </c>
      <c r="AQ23" s="585">
        <f t="shared" si="65"/>
        <v>8924</v>
      </c>
      <c r="AR23" s="585">
        <f t="shared" si="65"/>
        <v>9192</v>
      </c>
      <c r="AS23" s="585">
        <f t="shared" si="65"/>
        <v>9468</v>
      </c>
      <c r="AT23" s="585">
        <f t="shared" si="65"/>
        <v>9752</v>
      </c>
      <c r="AU23" s="585">
        <f t="shared" si="65"/>
        <v>10045</v>
      </c>
      <c r="AV23" s="585">
        <f t="shared" si="65"/>
        <v>10346</v>
      </c>
      <c r="AW23" s="585">
        <f t="shared" si="65"/>
        <v>10656</v>
      </c>
      <c r="AX23" s="585">
        <f t="shared" si="65"/>
        <v>10976</v>
      </c>
      <c r="AY23" s="585">
        <f t="shared" si="65"/>
        <v>11305</v>
      </c>
      <c r="AZ23" s="585">
        <f t="shared" si="65"/>
        <v>11644</v>
      </c>
      <c r="BA23" s="585">
        <f t="shared" si="65"/>
        <v>11993</v>
      </c>
      <c r="BB23" s="585">
        <f t="shared" si="65"/>
        <v>12353</v>
      </c>
      <c r="BC23" s="585">
        <f t="shared" si="65"/>
        <v>12724</v>
      </c>
      <c r="BD23" s="585">
        <f t="shared" si="65"/>
        <v>13106</v>
      </c>
    </row>
    <row r="24" spans="1:56" x14ac:dyDescent="0.2">
      <c r="E24" s="585"/>
      <c r="F24" s="585"/>
      <c r="G24" s="585"/>
      <c r="H24" s="585"/>
      <c r="I24" s="585"/>
      <c r="J24" s="585"/>
      <c r="K24" s="585"/>
      <c r="L24" s="585"/>
      <c r="M24" s="585"/>
      <c r="N24" s="585"/>
      <c r="O24" s="585"/>
      <c r="P24" s="585"/>
      <c r="Q24" s="585"/>
      <c r="R24" s="585"/>
      <c r="S24" s="585"/>
      <c r="T24" s="585"/>
      <c r="U24" s="585"/>
      <c r="V24" s="585"/>
      <c r="W24" s="585"/>
      <c r="X24" s="585"/>
      <c r="Y24" s="585"/>
      <c r="Z24" s="585"/>
      <c r="AA24" s="585"/>
      <c r="AB24" s="585"/>
      <c r="AC24" s="585"/>
      <c r="AD24" s="585"/>
      <c r="AE24" s="585"/>
      <c r="AF24" s="585"/>
      <c r="AG24" s="585"/>
      <c r="AH24" s="585"/>
      <c r="AI24" s="585"/>
      <c r="AJ24" s="585"/>
      <c r="AK24" s="585"/>
      <c r="AL24" s="585"/>
      <c r="AM24" s="585"/>
      <c r="AN24" s="585"/>
      <c r="AO24" s="585"/>
      <c r="AP24" s="585"/>
      <c r="AQ24" s="585"/>
      <c r="AR24" s="585"/>
      <c r="AS24" s="585"/>
      <c r="AT24" s="585"/>
      <c r="AU24" s="585"/>
      <c r="AV24" s="585"/>
      <c r="AW24" s="585"/>
      <c r="AX24" s="585"/>
      <c r="AY24" s="585"/>
      <c r="AZ24" s="585"/>
      <c r="BA24" s="585"/>
      <c r="BB24" s="585"/>
      <c r="BC24" s="585"/>
      <c r="BD24" s="585"/>
    </row>
    <row r="25" spans="1:56" x14ac:dyDescent="0.2">
      <c r="A25" t="s">
        <v>522</v>
      </c>
      <c r="C25" t="s">
        <v>506</v>
      </c>
      <c r="D25" t="s">
        <v>476</v>
      </c>
      <c r="E25" s="585">
        <f>ROUND(E13*E6+E22*E6*50%+E21*E6*50%,0)</f>
        <v>6884</v>
      </c>
      <c r="F25" s="585">
        <f t="shared" ref="F25:V25" si="66">ROUND(F13*F6+F22*F6*50%+F21*F6*50%,0)</f>
        <v>7155</v>
      </c>
      <c r="G25" s="585">
        <f t="shared" si="66"/>
        <v>7434</v>
      </c>
      <c r="H25" s="585">
        <f t="shared" si="66"/>
        <v>7722</v>
      </c>
      <c r="I25" s="585">
        <f t="shared" si="66"/>
        <v>8019</v>
      </c>
      <c r="J25" s="585">
        <f t="shared" si="66"/>
        <v>8324</v>
      </c>
      <c r="K25" s="585">
        <f t="shared" si="66"/>
        <v>8639</v>
      </c>
      <c r="L25" s="585">
        <f t="shared" si="66"/>
        <v>8963</v>
      </c>
      <c r="M25" s="585">
        <f t="shared" si="66"/>
        <v>9297</v>
      </c>
      <c r="N25" s="585">
        <f t="shared" si="66"/>
        <v>9640</v>
      </c>
      <c r="O25" s="585">
        <f t="shared" si="66"/>
        <v>9992</v>
      </c>
      <c r="P25" s="585">
        <f t="shared" si="66"/>
        <v>10355</v>
      </c>
      <c r="Q25" s="585">
        <f t="shared" si="66"/>
        <v>10727</v>
      </c>
      <c r="R25" s="585">
        <f t="shared" si="66"/>
        <v>11109</v>
      </c>
      <c r="S25" s="585">
        <f t="shared" si="66"/>
        <v>11502</v>
      </c>
      <c r="T25" s="585">
        <f t="shared" si="66"/>
        <v>11904</v>
      </c>
      <c r="U25" s="585">
        <f t="shared" si="66"/>
        <v>12316</v>
      </c>
      <c r="V25" s="585">
        <f t="shared" si="66"/>
        <v>12739</v>
      </c>
      <c r="W25" s="585">
        <f t="shared" ref="W25:Z25" si="67">ROUND(W13*W6+W22*W6*50%+W21*W6*50%,0)</f>
        <v>13172</v>
      </c>
      <c r="X25" s="585">
        <f t="shared" si="67"/>
        <v>13614</v>
      </c>
      <c r="Y25" s="585">
        <f t="shared" si="67"/>
        <v>14067</v>
      </c>
      <c r="Z25" s="585">
        <f t="shared" si="67"/>
        <v>14530</v>
      </c>
      <c r="AA25" s="585">
        <f t="shared" ref="AA25:AG25" si="68">ROUND(AA13*AA6+AA22*AA6*50%+AA21*AA6*50%,0)</f>
        <v>15003</v>
      </c>
      <c r="AB25" s="585">
        <f t="shared" si="68"/>
        <v>15485</v>
      </c>
      <c r="AC25" s="585">
        <f t="shared" si="68"/>
        <v>15977</v>
      </c>
      <c r="AD25" s="585">
        <f t="shared" si="68"/>
        <v>16479</v>
      </c>
      <c r="AE25" s="585">
        <f t="shared" si="68"/>
        <v>16989</v>
      </c>
      <c r="AF25" s="585">
        <f t="shared" si="68"/>
        <v>17509</v>
      </c>
      <c r="AG25" s="585">
        <f t="shared" si="68"/>
        <v>18036</v>
      </c>
      <c r="AH25" s="585">
        <f t="shared" ref="AH25:AM25" si="69">ROUND(AH13*AH6+AH22*AH6*50%+AH21*AH6*50%,0)</f>
        <v>18572</v>
      </c>
      <c r="AI25" s="585">
        <f t="shared" si="69"/>
        <v>19116</v>
      </c>
      <c r="AJ25" s="585">
        <f t="shared" si="69"/>
        <v>19666</v>
      </c>
      <c r="AK25" s="585">
        <f t="shared" si="69"/>
        <v>20223</v>
      </c>
      <c r="AL25" s="585">
        <f t="shared" si="69"/>
        <v>20786</v>
      </c>
      <c r="AM25" s="585">
        <f t="shared" si="69"/>
        <v>21354</v>
      </c>
      <c r="AN25" s="585">
        <f t="shared" ref="AN25:BD25" si="70">ROUND(AN13*AN6+AN22*AN6*50%+AN21*AN6*50%,0)</f>
        <v>21927</v>
      </c>
      <c r="AO25" s="585">
        <f t="shared" si="70"/>
        <v>22503</v>
      </c>
      <c r="AP25" s="585">
        <f t="shared" si="70"/>
        <v>23081</v>
      </c>
      <c r="AQ25" s="585">
        <f t="shared" si="70"/>
        <v>23661</v>
      </c>
      <c r="AR25" s="585">
        <f t="shared" si="70"/>
        <v>24241</v>
      </c>
      <c r="AS25" s="585">
        <f t="shared" si="70"/>
        <v>24820</v>
      </c>
      <c r="AT25" s="585">
        <f t="shared" si="70"/>
        <v>25397</v>
      </c>
      <c r="AU25" s="585">
        <f t="shared" si="70"/>
        <v>25969</v>
      </c>
      <c r="AV25" s="585">
        <f t="shared" si="70"/>
        <v>26536</v>
      </c>
      <c r="AW25" s="585">
        <f t="shared" si="70"/>
        <v>27095</v>
      </c>
      <c r="AX25" s="585">
        <f t="shared" si="70"/>
        <v>27645</v>
      </c>
      <c r="AY25" s="585">
        <f t="shared" si="70"/>
        <v>28183</v>
      </c>
      <c r="AZ25" s="585">
        <f t="shared" si="70"/>
        <v>28708</v>
      </c>
      <c r="BA25" s="585">
        <f t="shared" si="70"/>
        <v>29215</v>
      </c>
      <c r="BB25" s="585">
        <f t="shared" si="70"/>
        <v>29704</v>
      </c>
      <c r="BC25" s="585">
        <f t="shared" si="70"/>
        <v>30170</v>
      </c>
      <c r="BD25" s="585">
        <f t="shared" si="70"/>
        <v>30612</v>
      </c>
    </row>
    <row r="26" spans="1:56" x14ac:dyDescent="0.2">
      <c r="A26" t="s">
        <v>523</v>
      </c>
      <c r="C26" t="s">
        <v>507</v>
      </c>
      <c r="D26" t="s">
        <v>477</v>
      </c>
      <c r="E26" s="589"/>
      <c r="F26" s="585">
        <f t="shared" ref="F26:V26" si="71">ROUND(F14*F7+F23*F7*50%+F21*F7*50%,0)</f>
        <v>7186</v>
      </c>
      <c r="G26" s="585">
        <f t="shared" si="71"/>
        <v>7458</v>
      </c>
      <c r="H26" s="585">
        <f t="shared" si="71"/>
        <v>7738</v>
      </c>
      <c r="I26" s="585">
        <f t="shared" si="71"/>
        <v>8026</v>
      </c>
      <c r="J26" s="585">
        <f t="shared" si="71"/>
        <v>8322</v>
      </c>
      <c r="K26" s="585">
        <f t="shared" si="71"/>
        <v>8626</v>
      </c>
      <c r="L26" s="585">
        <f t="shared" si="71"/>
        <v>8939</v>
      </c>
      <c r="M26" s="585">
        <f t="shared" si="71"/>
        <v>9259</v>
      </c>
      <c r="N26" s="585">
        <f t="shared" si="71"/>
        <v>9588</v>
      </c>
      <c r="O26" s="585">
        <f t="shared" si="71"/>
        <v>9926</v>
      </c>
      <c r="P26" s="585">
        <f t="shared" si="71"/>
        <v>10271</v>
      </c>
      <c r="Q26" s="585">
        <f t="shared" si="71"/>
        <v>10625</v>
      </c>
      <c r="R26" s="585">
        <f t="shared" si="71"/>
        <v>10987</v>
      </c>
      <c r="S26" s="585">
        <f t="shared" si="71"/>
        <v>11356</v>
      </c>
      <c r="T26" s="585">
        <f t="shared" si="71"/>
        <v>11733</v>
      </c>
      <c r="U26" s="585">
        <f t="shared" si="71"/>
        <v>12118</v>
      </c>
      <c r="V26" s="585">
        <f t="shared" si="71"/>
        <v>12510</v>
      </c>
      <c r="W26" s="585">
        <f t="shared" ref="W26:Z26" si="72">ROUND(W14*W7+W23*W7*50%+W21*W7*50%,0)</f>
        <v>12909</v>
      </c>
      <c r="X26" s="585">
        <f t="shared" si="72"/>
        <v>13315</v>
      </c>
      <c r="Y26" s="585">
        <f t="shared" si="72"/>
        <v>13727</v>
      </c>
      <c r="Z26" s="585">
        <f t="shared" si="72"/>
        <v>14144</v>
      </c>
      <c r="AA26" s="585">
        <f t="shared" ref="AA26:AG26" si="73">ROUND(AA14*AA7+AA23*AA7*50%+AA21*AA7*50%,0)</f>
        <v>14567</v>
      </c>
      <c r="AB26" s="585">
        <f t="shared" si="73"/>
        <v>14994</v>
      </c>
      <c r="AC26" s="585">
        <f t="shared" si="73"/>
        <v>15425</v>
      </c>
      <c r="AD26" s="585">
        <f t="shared" si="73"/>
        <v>15859</v>
      </c>
      <c r="AE26" s="585">
        <f t="shared" si="73"/>
        <v>16295</v>
      </c>
      <c r="AF26" s="585">
        <f t="shared" si="73"/>
        <v>16733</v>
      </c>
      <c r="AG26" s="585">
        <f t="shared" si="73"/>
        <v>17170</v>
      </c>
      <c r="AH26" s="585">
        <f t="shared" ref="AH26:AM26" si="74">ROUND(AH14*AH7+AH23*AH7*50%+AH21*AH7*50%,0)</f>
        <v>17607</v>
      </c>
      <c r="AI26" s="585">
        <f t="shared" si="74"/>
        <v>18041</v>
      </c>
      <c r="AJ26" s="585">
        <f t="shared" si="74"/>
        <v>18471</v>
      </c>
      <c r="AK26" s="585">
        <f t="shared" si="74"/>
        <v>18896</v>
      </c>
      <c r="AL26" s="585">
        <f t="shared" si="74"/>
        <v>19313</v>
      </c>
      <c r="AM26" s="585">
        <f t="shared" si="74"/>
        <v>19721</v>
      </c>
      <c r="AN26" s="585">
        <f t="shared" ref="AN26:BD26" si="75">ROUND(AN14*AN7+AN23*AN7*50%+AN21*AN7*50%,0)</f>
        <v>20118</v>
      </c>
      <c r="AO26" s="585">
        <f t="shared" si="75"/>
        <v>20502</v>
      </c>
      <c r="AP26" s="585">
        <f t="shared" si="75"/>
        <v>20869</v>
      </c>
      <c r="AQ26" s="585">
        <f t="shared" si="75"/>
        <v>21217</v>
      </c>
      <c r="AR26" s="585">
        <f t="shared" si="75"/>
        <v>21543</v>
      </c>
      <c r="AS26" s="585">
        <f t="shared" si="75"/>
        <v>21843</v>
      </c>
      <c r="AT26" s="585">
        <f t="shared" si="75"/>
        <v>22115</v>
      </c>
      <c r="AU26" s="585">
        <f t="shared" si="75"/>
        <v>22354</v>
      </c>
      <c r="AV26" s="585">
        <f t="shared" si="75"/>
        <v>22557</v>
      </c>
      <c r="AW26" s="585">
        <f t="shared" si="75"/>
        <v>22717</v>
      </c>
      <c r="AX26" s="585">
        <f t="shared" si="75"/>
        <v>22831</v>
      </c>
      <c r="AY26" s="585">
        <f t="shared" si="75"/>
        <v>22893</v>
      </c>
      <c r="AZ26" s="585">
        <f t="shared" si="75"/>
        <v>22898</v>
      </c>
      <c r="BA26" s="585">
        <f t="shared" si="75"/>
        <v>22839</v>
      </c>
      <c r="BB26" s="585">
        <f t="shared" si="75"/>
        <v>22709</v>
      </c>
      <c r="BC26" s="585">
        <f t="shared" si="75"/>
        <v>22500</v>
      </c>
      <c r="BD26" s="585">
        <f t="shared" si="75"/>
        <v>22206</v>
      </c>
    </row>
    <row r="27" spans="1:56" x14ac:dyDescent="0.2">
      <c r="A27" t="s">
        <v>564</v>
      </c>
      <c r="C27" t="s">
        <v>508</v>
      </c>
      <c r="D27" t="s">
        <v>478</v>
      </c>
      <c r="E27" s="584">
        <f>E32-E15-E17-E19-E21</f>
        <v>19181</v>
      </c>
      <c r="F27" s="585">
        <f>ROUND(F15*F5+(F17+F19+F20+F18)*F5*50%+F21*F5*50%,0)</f>
        <v>10640</v>
      </c>
      <c r="G27" s="585">
        <f t="shared" ref="G27:AM27" si="76">ROUND(G15*G5+(G17+G19+G20+G18)*G5*50%+G21*G5*50%,0)</f>
        <v>11154</v>
      </c>
      <c r="H27" s="585">
        <f t="shared" si="76"/>
        <v>11691</v>
      </c>
      <c r="I27" s="585">
        <f t="shared" si="76"/>
        <v>12254</v>
      </c>
      <c r="J27" s="585">
        <f t="shared" si="76"/>
        <v>12842</v>
      </c>
      <c r="K27" s="585">
        <f t="shared" si="76"/>
        <v>13458</v>
      </c>
      <c r="L27" s="585">
        <f t="shared" si="76"/>
        <v>14103</v>
      </c>
      <c r="M27" s="585">
        <f t="shared" si="76"/>
        <v>14777</v>
      </c>
      <c r="N27" s="585">
        <f t="shared" si="76"/>
        <v>15483</v>
      </c>
      <c r="O27" s="585">
        <f t="shared" si="76"/>
        <v>16218</v>
      </c>
      <c r="P27" s="585">
        <f t="shared" si="76"/>
        <v>16897</v>
      </c>
      <c r="Q27" s="585">
        <f t="shared" si="76"/>
        <v>17510</v>
      </c>
      <c r="R27" s="585">
        <f t="shared" si="76"/>
        <v>18137</v>
      </c>
      <c r="S27" s="585">
        <f t="shared" si="76"/>
        <v>18779</v>
      </c>
      <c r="T27" s="585">
        <f t="shared" si="76"/>
        <v>19438</v>
      </c>
      <c r="U27" s="585">
        <f t="shared" si="76"/>
        <v>20113</v>
      </c>
      <c r="V27" s="585">
        <f t="shared" si="76"/>
        <v>20806</v>
      </c>
      <c r="W27" s="585">
        <f t="shared" si="76"/>
        <v>21514</v>
      </c>
      <c r="X27" s="585">
        <f t="shared" si="76"/>
        <v>22240</v>
      </c>
      <c r="Y27" s="585">
        <f t="shared" si="76"/>
        <v>22982</v>
      </c>
      <c r="Z27" s="585">
        <f t="shared" si="76"/>
        <v>23740</v>
      </c>
      <c r="AA27" s="585">
        <f t="shared" si="76"/>
        <v>24515</v>
      </c>
      <c r="AB27" s="585">
        <f t="shared" si="76"/>
        <v>25306</v>
      </c>
      <c r="AC27" s="585">
        <f t="shared" si="76"/>
        <v>26112</v>
      </c>
      <c r="AD27" s="585">
        <f t="shared" si="76"/>
        <v>26934</v>
      </c>
      <c r="AE27" s="585">
        <f t="shared" si="76"/>
        <v>27771</v>
      </c>
      <c r="AF27" s="585">
        <f t="shared" si="76"/>
        <v>28623</v>
      </c>
      <c r="AG27" s="585">
        <f t="shared" si="76"/>
        <v>29488</v>
      </c>
      <c r="AH27" s="585">
        <f t="shared" si="76"/>
        <v>30367</v>
      </c>
      <c r="AI27" s="585">
        <f t="shared" si="76"/>
        <v>31259</v>
      </c>
      <c r="AJ27" s="585">
        <f t="shared" si="76"/>
        <v>32162</v>
      </c>
      <c r="AK27" s="585">
        <f t="shared" si="76"/>
        <v>33077</v>
      </c>
      <c r="AL27" s="585">
        <f t="shared" si="76"/>
        <v>34001</v>
      </c>
      <c r="AM27" s="585">
        <f t="shared" si="76"/>
        <v>34934</v>
      </c>
      <c r="AN27" s="585">
        <f t="shared" ref="AN27:BD27" si="77">ROUND(AN15*AN5+(AN17+AN19+AN20+AN18)*AN5*50%+AN21*AN5*50%,0)</f>
        <v>35874</v>
      </c>
      <c r="AO27" s="585">
        <f t="shared" si="77"/>
        <v>36820</v>
      </c>
      <c r="AP27" s="585">
        <f t="shared" si="77"/>
        <v>37771</v>
      </c>
      <c r="AQ27" s="585">
        <f t="shared" si="77"/>
        <v>38724</v>
      </c>
      <c r="AR27" s="585">
        <f t="shared" si="77"/>
        <v>39678</v>
      </c>
      <c r="AS27" s="585">
        <f t="shared" si="77"/>
        <v>40630</v>
      </c>
      <c r="AT27" s="585">
        <f t="shared" si="77"/>
        <v>41579</v>
      </c>
      <c r="AU27" s="585">
        <f t="shared" si="77"/>
        <v>42521</v>
      </c>
      <c r="AV27" s="585">
        <f t="shared" si="77"/>
        <v>43455</v>
      </c>
      <c r="AW27" s="585">
        <f t="shared" si="77"/>
        <v>44377</v>
      </c>
      <c r="AX27" s="585">
        <f t="shared" si="77"/>
        <v>45283</v>
      </c>
      <c r="AY27" s="585">
        <f t="shared" si="77"/>
        <v>46171</v>
      </c>
      <c r="AZ27" s="585">
        <f t="shared" si="77"/>
        <v>47037</v>
      </c>
      <c r="BA27" s="585">
        <f t="shared" si="77"/>
        <v>47876</v>
      </c>
      <c r="BB27" s="585">
        <f t="shared" si="77"/>
        <v>48684</v>
      </c>
      <c r="BC27" s="585">
        <f t="shared" si="77"/>
        <v>49456</v>
      </c>
      <c r="BD27" s="585">
        <f t="shared" si="77"/>
        <v>50188</v>
      </c>
    </row>
    <row r="28" spans="1:56" x14ac:dyDescent="0.2">
      <c r="E28" s="583">
        <f>E27/E15</f>
        <v>0.12416815557109195</v>
      </c>
      <c r="F28" s="585"/>
      <c r="G28" s="585"/>
      <c r="H28" s="585"/>
      <c r="I28" s="585"/>
      <c r="J28" s="585"/>
      <c r="K28" s="585"/>
      <c r="L28" s="585"/>
      <c r="M28" s="585"/>
      <c r="N28" s="585"/>
      <c r="O28" s="585"/>
      <c r="P28" s="585"/>
      <c r="Q28" s="585"/>
      <c r="R28" s="585"/>
      <c r="S28" s="585"/>
      <c r="T28" s="585"/>
      <c r="U28" s="585"/>
      <c r="V28" s="585"/>
      <c r="W28" s="585"/>
      <c r="X28" s="585"/>
      <c r="Y28" s="585"/>
      <c r="Z28" s="585"/>
      <c r="AA28" s="585"/>
      <c r="AB28" s="585"/>
      <c r="AC28" s="585"/>
      <c r="AD28" s="585"/>
      <c r="AE28" s="585"/>
      <c r="AF28" s="585"/>
      <c r="AG28" s="585"/>
      <c r="AH28" s="585"/>
      <c r="AI28" s="585"/>
      <c r="AJ28" s="585"/>
      <c r="AK28" s="585"/>
      <c r="AL28" s="585"/>
      <c r="AM28" s="585"/>
      <c r="AN28" s="585"/>
      <c r="AO28" s="585"/>
      <c r="AP28" s="585"/>
      <c r="AQ28" s="585"/>
      <c r="AR28" s="585"/>
      <c r="AS28" s="585"/>
      <c r="AT28" s="585"/>
      <c r="AU28" s="585"/>
      <c r="AV28" s="585"/>
      <c r="AW28" s="585"/>
      <c r="AX28" s="585"/>
      <c r="AY28" s="585"/>
      <c r="AZ28" s="585"/>
      <c r="BA28" s="585"/>
      <c r="BB28" s="585"/>
      <c r="BC28" s="585"/>
      <c r="BD28" s="585"/>
    </row>
    <row r="29" spans="1:56" x14ac:dyDescent="0.2">
      <c r="D29" s="2" t="s">
        <v>480</v>
      </c>
      <c r="E29" s="585"/>
      <c r="F29" s="585"/>
      <c r="G29" s="585"/>
      <c r="H29" s="585"/>
      <c r="I29" s="585"/>
      <c r="J29" s="585"/>
      <c r="K29" s="585"/>
      <c r="L29" s="585"/>
      <c r="M29" s="585"/>
      <c r="N29" s="585"/>
      <c r="O29" s="585"/>
      <c r="P29" s="585"/>
      <c r="Q29" s="585"/>
      <c r="R29" s="585"/>
      <c r="S29" s="585"/>
      <c r="T29" s="585"/>
      <c r="U29" s="585"/>
      <c r="V29" s="585"/>
      <c r="W29" s="585"/>
      <c r="X29" s="585"/>
      <c r="Y29" s="585"/>
      <c r="Z29" s="585"/>
      <c r="AA29" s="585"/>
      <c r="AB29" s="585"/>
      <c r="AC29" s="585"/>
      <c r="AD29" s="585"/>
      <c r="AE29" s="585"/>
      <c r="AF29" s="585"/>
      <c r="AG29" s="585"/>
      <c r="AH29" s="585"/>
      <c r="AI29" s="585"/>
      <c r="AJ29" s="585"/>
      <c r="AK29" s="585"/>
      <c r="AL29" s="585"/>
      <c r="AM29" s="585"/>
      <c r="AN29" s="585"/>
      <c r="AO29" s="585"/>
      <c r="AP29" s="585"/>
      <c r="AQ29" s="585"/>
      <c r="AR29" s="585"/>
      <c r="AS29" s="585"/>
      <c r="AT29" s="585"/>
      <c r="AU29" s="585"/>
      <c r="AV29" s="585"/>
      <c r="AW29" s="585"/>
      <c r="AX29" s="585"/>
      <c r="AY29" s="585"/>
      <c r="AZ29" s="585"/>
      <c r="BA29" s="585"/>
      <c r="BB29" s="585"/>
      <c r="BC29" s="585"/>
      <c r="BD29" s="585"/>
    </row>
    <row r="30" spans="1:56" x14ac:dyDescent="0.2">
      <c r="A30" t="s">
        <v>524</v>
      </c>
      <c r="C30" t="s">
        <v>509</v>
      </c>
      <c r="D30" t="s">
        <v>471</v>
      </c>
      <c r="E30" s="585">
        <f>E13+E22+E21+E25</f>
        <v>148196.64441181347</v>
      </c>
      <c r="F30" s="585">
        <f t="shared" ref="F30:V30" si="78">F13+F22+F21+F25</f>
        <v>154002.64441181347</v>
      </c>
      <c r="G30" s="585">
        <f t="shared" si="78"/>
        <v>159989.64441181347</v>
      </c>
      <c r="H30" s="585">
        <f t="shared" si="78"/>
        <v>166161.64441181347</v>
      </c>
      <c r="I30" s="585">
        <f t="shared" si="78"/>
        <v>172521.64441181347</v>
      </c>
      <c r="J30" s="585">
        <f t="shared" si="78"/>
        <v>179071.64441181347</v>
      </c>
      <c r="K30" s="585">
        <f t="shared" si="78"/>
        <v>185816.64441181347</v>
      </c>
      <c r="L30" s="585">
        <f t="shared" si="78"/>
        <v>192758.64441181347</v>
      </c>
      <c r="M30" s="585">
        <f t="shared" si="78"/>
        <v>199901.64441181347</v>
      </c>
      <c r="N30" s="585">
        <f t="shared" si="78"/>
        <v>207247.64441181347</v>
      </c>
      <c r="O30" s="585">
        <f t="shared" si="78"/>
        <v>214797.64441181347</v>
      </c>
      <c r="P30" s="585">
        <f t="shared" si="78"/>
        <v>222555.64441181347</v>
      </c>
      <c r="Q30" s="585">
        <f t="shared" si="78"/>
        <v>230522.64441181347</v>
      </c>
      <c r="R30" s="585">
        <f t="shared" si="78"/>
        <v>238700.64441181347</v>
      </c>
      <c r="S30" s="585">
        <f t="shared" si="78"/>
        <v>247091.64441181347</v>
      </c>
      <c r="T30" s="585">
        <f t="shared" si="78"/>
        <v>255695.64441181347</v>
      </c>
      <c r="U30" s="585">
        <f t="shared" si="78"/>
        <v>264512.64441181347</v>
      </c>
      <c r="V30" s="585">
        <f t="shared" si="78"/>
        <v>273543.64441181347</v>
      </c>
      <c r="W30" s="585">
        <f t="shared" ref="W30:Z30" si="79">W13+W22+W21+W25</f>
        <v>282788.64441181347</v>
      </c>
      <c r="X30" s="585">
        <f t="shared" si="79"/>
        <v>292246.64441181347</v>
      </c>
      <c r="Y30" s="585">
        <f t="shared" si="79"/>
        <v>301916.64441181347</v>
      </c>
      <c r="Z30" s="585">
        <f t="shared" si="79"/>
        <v>311796.64441181347</v>
      </c>
      <c r="AA30" s="585">
        <f t="shared" ref="AA30:AG30" si="80">AA13+AA22+AA21+AA25</f>
        <v>321884.64441181347</v>
      </c>
      <c r="AB30" s="585">
        <f t="shared" si="80"/>
        <v>332175.64441181347</v>
      </c>
      <c r="AC30" s="585">
        <f t="shared" si="80"/>
        <v>342665.64441181347</v>
      </c>
      <c r="AD30" s="585">
        <f t="shared" si="80"/>
        <v>353351.64441181347</v>
      </c>
      <c r="AE30" s="585">
        <f t="shared" si="80"/>
        <v>364226.64441181347</v>
      </c>
      <c r="AF30" s="585">
        <f t="shared" si="80"/>
        <v>375284.64441181347</v>
      </c>
      <c r="AG30" s="585">
        <f t="shared" si="80"/>
        <v>386516.64441181347</v>
      </c>
      <c r="AH30" s="585">
        <f t="shared" ref="AH30:AM30" si="81">AH13+AH22+AH21+AH25</f>
        <v>397914.64441181347</v>
      </c>
      <c r="AI30" s="585">
        <f t="shared" si="81"/>
        <v>409469.64441181347</v>
      </c>
      <c r="AJ30" s="585">
        <f t="shared" si="81"/>
        <v>421168.64441181347</v>
      </c>
      <c r="AK30" s="585">
        <f t="shared" si="81"/>
        <v>432998.64441181347</v>
      </c>
      <c r="AL30" s="585">
        <f t="shared" si="81"/>
        <v>444945.64441181347</v>
      </c>
      <c r="AM30" s="585">
        <f t="shared" si="81"/>
        <v>456993.64441181347</v>
      </c>
      <c r="AN30" s="585">
        <f t="shared" ref="AN30:BD30" si="82">AN13+AN22+AN21+AN25</f>
        <v>469125.64441181347</v>
      </c>
      <c r="AO30" s="585">
        <f t="shared" si="82"/>
        <v>481320.64441181347</v>
      </c>
      <c r="AP30" s="585">
        <f t="shared" si="82"/>
        <v>493556.64441181347</v>
      </c>
      <c r="AQ30" s="585">
        <f t="shared" si="82"/>
        <v>505810.64441181347</v>
      </c>
      <c r="AR30" s="585">
        <f t="shared" si="82"/>
        <v>518056.64441181347</v>
      </c>
      <c r="AS30" s="585">
        <f t="shared" si="82"/>
        <v>530266.64441181347</v>
      </c>
      <c r="AT30" s="585">
        <f t="shared" si="82"/>
        <v>542409.64441181347</v>
      </c>
      <c r="AU30" s="585">
        <f t="shared" si="82"/>
        <v>554450.64441181347</v>
      </c>
      <c r="AV30" s="585">
        <f t="shared" si="82"/>
        <v>566352.64441181347</v>
      </c>
      <c r="AW30" s="585">
        <f t="shared" si="82"/>
        <v>578075.64441181347</v>
      </c>
      <c r="AX30" s="585">
        <f t="shared" si="82"/>
        <v>589576.64441181347</v>
      </c>
      <c r="AY30" s="585">
        <f t="shared" si="82"/>
        <v>600808.64441181347</v>
      </c>
      <c r="AZ30" s="585">
        <f t="shared" si="82"/>
        <v>611720.64441181347</v>
      </c>
      <c r="BA30" s="585">
        <f t="shared" si="82"/>
        <v>622255.64441181347</v>
      </c>
      <c r="BB30" s="585">
        <f t="shared" si="82"/>
        <v>632355.64441181347</v>
      </c>
      <c r="BC30" s="585">
        <f t="shared" si="82"/>
        <v>641955.64441181347</v>
      </c>
      <c r="BD30" s="585">
        <f t="shared" si="82"/>
        <v>650987.64441181347</v>
      </c>
    </row>
    <row r="31" spans="1:56" x14ac:dyDescent="0.2">
      <c r="A31" t="s">
        <v>525</v>
      </c>
      <c r="C31" t="s">
        <v>510</v>
      </c>
      <c r="D31" t="s">
        <v>472</v>
      </c>
      <c r="E31" s="586">
        <f>'Data Input'!AC12</f>
        <v>116367</v>
      </c>
      <c r="F31" s="585">
        <f>F14+F23+F21+F26</f>
        <v>120785</v>
      </c>
      <c r="G31" s="585">
        <f t="shared" ref="G31:V31" si="83">G14+G23+G21+G26</f>
        <v>125335</v>
      </c>
      <c r="H31" s="585">
        <f t="shared" si="83"/>
        <v>130018</v>
      </c>
      <c r="I31" s="585">
        <f t="shared" si="83"/>
        <v>134835</v>
      </c>
      <c r="J31" s="585">
        <f t="shared" si="83"/>
        <v>139787</v>
      </c>
      <c r="K31" s="585">
        <f t="shared" si="83"/>
        <v>144875</v>
      </c>
      <c r="L31" s="585">
        <f t="shared" si="83"/>
        <v>150100</v>
      </c>
      <c r="M31" s="585">
        <f t="shared" si="83"/>
        <v>155461</v>
      </c>
      <c r="N31" s="585">
        <f t="shared" si="83"/>
        <v>160958</v>
      </c>
      <c r="O31" s="585">
        <f t="shared" si="83"/>
        <v>166592</v>
      </c>
      <c r="P31" s="585">
        <f t="shared" si="83"/>
        <v>172360</v>
      </c>
      <c r="Q31" s="585">
        <f t="shared" si="83"/>
        <v>178262</v>
      </c>
      <c r="R31" s="585">
        <f t="shared" si="83"/>
        <v>184296</v>
      </c>
      <c r="S31" s="585">
        <f t="shared" si="83"/>
        <v>190458</v>
      </c>
      <c r="T31" s="585">
        <f t="shared" si="83"/>
        <v>196746</v>
      </c>
      <c r="U31" s="585">
        <f t="shared" si="83"/>
        <v>203156</v>
      </c>
      <c r="V31" s="585">
        <f t="shared" si="83"/>
        <v>209683</v>
      </c>
      <c r="W31" s="585">
        <f t="shared" ref="W31:Z31" si="84">W14+W23+W21+W26</f>
        <v>216322</v>
      </c>
      <c r="X31" s="585">
        <f t="shared" si="84"/>
        <v>223067</v>
      </c>
      <c r="Y31" s="585">
        <f t="shared" si="84"/>
        <v>229911</v>
      </c>
      <c r="Z31" s="585">
        <f t="shared" si="84"/>
        <v>236844</v>
      </c>
      <c r="AA31" s="585">
        <f t="shared" ref="AA31:AG31" si="85">AA14+AA23+AA21+AA26</f>
        <v>243858</v>
      </c>
      <c r="AB31" s="585">
        <f t="shared" si="85"/>
        <v>250941</v>
      </c>
      <c r="AC31" s="585">
        <f t="shared" si="85"/>
        <v>258081</v>
      </c>
      <c r="AD31" s="585">
        <f t="shared" si="85"/>
        <v>265265</v>
      </c>
      <c r="AE31" s="585">
        <f t="shared" si="85"/>
        <v>272477</v>
      </c>
      <c r="AF31" s="585">
        <f t="shared" si="85"/>
        <v>279701</v>
      </c>
      <c r="AG31" s="585">
        <f t="shared" si="85"/>
        <v>286917</v>
      </c>
      <c r="AH31" s="585">
        <f t="shared" ref="AH31:AM31" si="86">AH14+AH23+AH21+AH26</f>
        <v>294105</v>
      </c>
      <c r="AI31" s="585">
        <f t="shared" si="86"/>
        <v>301242</v>
      </c>
      <c r="AJ31" s="585">
        <f t="shared" si="86"/>
        <v>308302</v>
      </c>
      <c r="AK31" s="585">
        <f t="shared" si="86"/>
        <v>315258</v>
      </c>
      <c r="AL31" s="585">
        <f t="shared" si="86"/>
        <v>322078</v>
      </c>
      <c r="AM31" s="585">
        <f t="shared" si="86"/>
        <v>328729</v>
      </c>
      <c r="AN31" s="585">
        <f t="shared" ref="AN31:BD31" si="87">AN14+AN23+AN21+AN26</f>
        <v>335175</v>
      </c>
      <c r="AO31" s="585">
        <f t="shared" si="87"/>
        <v>341376</v>
      </c>
      <c r="AP31" s="585">
        <f t="shared" si="87"/>
        <v>347287</v>
      </c>
      <c r="AQ31" s="585">
        <f t="shared" si="87"/>
        <v>352861</v>
      </c>
      <c r="AR31" s="585">
        <f t="shared" si="87"/>
        <v>358046</v>
      </c>
      <c r="AS31" s="585">
        <f t="shared" si="87"/>
        <v>362785</v>
      </c>
      <c r="AT31" s="585">
        <f t="shared" si="87"/>
        <v>367017</v>
      </c>
      <c r="AU31" s="585">
        <f t="shared" si="87"/>
        <v>370676</v>
      </c>
      <c r="AV31" s="585">
        <f t="shared" si="87"/>
        <v>373689</v>
      </c>
      <c r="AW31" s="585">
        <f t="shared" si="87"/>
        <v>375976</v>
      </c>
      <c r="AX31" s="585">
        <f t="shared" si="87"/>
        <v>377454</v>
      </c>
      <c r="AY31" s="585">
        <f t="shared" si="87"/>
        <v>378030</v>
      </c>
      <c r="AZ31" s="585">
        <f t="shared" si="87"/>
        <v>377605</v>
      </c>
      <c r="BA31" s="585">
        <f t="shared" si="87"/>
        <v>376071</v>
      </c>
      <c r="BB31" s="585">
        <f t="shared" si="87"/>
        <v>373312</v>
      </c>
      <c r="BC31" s="585">
        <f t="shared" si="87"/>
        <v>369202</v>
      </c>
      <c r="BD31" s="585">
        <f t="shared" si="87"/>
        <v>363607</v>
      </c>
    </row>
    <row r="32" spans="1:56" x14ac:dyDescent="0.2">
      <c r="A32" t="s">
        <v>565</v>
      </c>
      <c r="C32" t="s">
        <v>494</v>
      </c>
      <c r="D32" t="s">
        <v>515</v>
      </c>
      <c r="E32" s="586">
        <f>'Data Input'!AC26</f>
        <v>171420</v>
      </c>
      <c r="F32" s="585">
        <f>F15+F17+F18+F19+F20+F21+F27</f>
        <v>179701</v>
      </c>
      <c r="G32" s="585">
        <f t="shared" ref="G32:AM32" si="88">G15+G17+G18+G19+G20+G21+G27</f>
        <v>188368</v>
      </c>
      <c r="H32" s="585">
        <f t="shared" si="88"/>
        <v>197438</v>
      </c>
      <c r="I32" s="585">
        <f t="shared" si="88"/>
        <v>206930</v>
      </c>
      <c r="J32" s="585">
        <f t="shared" si="88"/>
        <v>216863</v>
      </c>
      <c r="K32" s="585">
        <f t="shared" si="88"/>
        <v>227258</v>
      </c>
      <c r="L32" s="585">
        <f t="shared" si="88"/>
        <v>238136</v>
      </c>
      <c r="M32" s="585">
        <f t="shared" si="88"/>
        <v>249519</v>
      </c>
      <c r="N32" s="585">
        <f t="shared" si="88"/>
        <v>261430</v>
      </c>
      <c r="O32" s="585">
        <f t="shared" si="88"/>
        <v>273779</v>
      </c>
      <c r="P32" s="585">
        <f t="shared" si="88"/>
        <v>283808</v>
      </c>
      <c r="Q32" s="585">
        <f t="shared" si="88"/>
        <v>294021</v>
      </c>
      <c r="R32" s="585">
        <f t="shared" si="88"/>
        <v>304489</v>
      </c>
      <c r="S32" s="585">
        <f t="shared" si="88"/>
        <v>315222</v>
      </c>
      <c r="T32" s="585">
        <f t="shared" si="88"/>
        <v>326231</v>
      </c>
      <c r="U32" s="585">
        <f t="shared" si="88"/>
        <v>337513</v>
      </c>
      <c r="V32" s="585">
        <f t="shared" si="88"/>
        <v>349071</v>
      </c>
      <c r="W32" s="585">
        <f t="shared" si="88"/>
        <v>360904</v>
      </c>
      <c r="X32" s="585">
        <f t="shared" si="88"/>
        <v>373010</v>
      </c>
      <c r="Y32" s="585">
        <f t="shared" si="88"/>
        <v>385389</v>
      </c>
      <c r="Z32" s="585">
        <f t="shared" si="88"/>
        <v>398038</v>
      </c>
      <c r="AA32" s="585">
        <f t="shared" si="88"/>
        <v>410955</v>
      </c>
      <c r="AB32" s="585">
        <f t="shared" si="88"/>
        <v>424135</v>
      </c>
      <c r="AC32" s="585">
        <f t="shared" si="88"/>
        <v>437572</v>
      </c>
      <c r="AD32" s="585">
        <f t="shared" si="88"/>
        <v>451260</v>
      </c>
      <c r="AE32" s="585">
        <f t="shared" si="88"/>
        <v>465193</v>
      </c>
      <c r="AF32" s="585">
        <f t="shared" si="88"/>
        <v>479361</v>
      </c>
      <c r="AG32" s="585">
        <f t="shared" si="88"/>
        <v>493757</v>
      </c>
      <c r="AH32" s="585">
        <f t="shared" si="88"/>
        <v>508367</v>
      </c>
      <c r="AI32" s="585">
        <f t="shared" si="88"/>
        <v>523179</v>
      </c>
      <c r="AJ32" s="585">
        <f t="shared" si="88"/>
        <v>538181</v>
      </c>
      <c r="AK32" s="585">
        <f t="shared" si="88"/>
        <v>553354</v>
      </c>
      <c r="AL32" s="585">
        <f t="shared" si="88"/>
        <v>568679</v>
      </c>
      <c r="AM32" s="585">
        <f t="shared" si="88"/>
        <v>584138</v>
      </c>
      <c r="AN32" s="585">
        <f t="shared" ref="AN32:BD32" si="89">AN15+AN17+AN18+AN19+AN20+AN21+AN27</f>
        <v>599706</v>
      </c>
      <c r="AO32" s="585">
        <f t="shared" si="89"/>
        <v>615361</v>
      </c>
      <c r="AP32" s="585">
        <f t="shared" si="89"/>
        <v>631074</v>
      </c>
      <c r="AQ32" s="585">
        <f t="shared" si="89"/>
        <v>646814</v>
      </c>
      <c r="AR32" s="585">
        <f t="shared" si="89"/>
        <v>662548</v>
      </c>
      <c r="AS32" s="585">
        <f t="shared" si="89"/>
        <v>678242</v>
      </c>
      <c r="AT32" s="585">
        <f t="shared" si="89"/>
        <v>693856</v>
      </c>
      <c r="AU32" s="585">
        <f t="shared" si="89"/>
        <v>709347</v>
      </c>
      <c r="AV32" s="585">
        <f t="shared" si="89"/>
        <v>724666</v>
      </c>
      <c r="AW32" s="585">
        <f t="shared" si="89"/>
        <v>739763</v>
      </c>
      <c r="AX32" s="585">
        <f t="shared" si="89"/>
        <v>754582</v>
      </c>
      <c r="AY32" s="585">
        <f t="shared" si="89"/>
        <v>769063</v>
      </c>
      <c r="AZ32" s="585">
        <f t="shared" si="89"/>
        <v>783144</v>
      </c>
      <c r="BA32" s="585">
        <f t="shared" si="89"/>
        <v>796752</v>
      </c>
      <c r="BB32" s="585">
        <f t="shared" si="89"/>
        <v>809811</v>
      </c>
      <c r="BC32" s="585">
        <f t="shared" si="89"/>
        <v>822239</v>
      </c>
      <c r="BD32" s="585">
        <f t="shared" si="89"/>
        <v>833950</v>
      </c>
    </row>
    <row r="33" spans="1:56" x14ac:dyDescent="0.2">
      <c r="A33" t="s">
        <v>545</v>
      </c>
      <c r="C33" t="s">
        <v>501</v>
      </c>
      <c r="D33" t="s">
        <v>548</v>
      </c>
      <c r="E33" s="586"/>
      <c r="F33" s="585"/>
      <c r="G33" s="585">
        <f>G32-G52</f>
        <v>186741</v>
      </c>
      <c r="H33" s="585">
        <f t="shared" ref="H33:AM33" si="90">H32-H52</f>
        <v>195732</v>
      </c>
      <c r="I33" s="585">
        <f t="shared" si="90"/>
        <v>205142</v>
      </c>
      <c r="J33" s="585">
        <f t="shared" si="90"/>
        <v>214989</v>
      </c>
      <c r="K33" s="585">
        <f t="shared" si="90"/>
        <v>225294</v>
      </c>
      <c r="L33" s="585">
        <f t="shared" si="90"/>
        <v>236078</v>
      </c>
      <c r="M33" s="585">
        <f t="shared" si="90"/>
        <v>247363</v>
      </c>
      <c r="N33" s="585">
        <f t="shared" si="90"/>
        <v>259171</v>
      </c>
      <c r="O33" s="585">
        <f t="shared" si="90"/>
        <v>271412</v>
      </c>
      <c r="P33" s="585">
        <f t="shared" si="90"/>
        <v>281335</v>
      </c>
      <c r="Q33" s="585">
        <f t="shared" si="90"/>
        <v>291452</v>
      </c>
      <c r="R33" s="585">
        <f t="shared" si="90"/>
        <v>301828</v>
      </c>
      <c r="S33" s="585">
        <f t="shared" si="90"/>
        <v>312466</v>
      </c>
      <c r="T33" s="585">
        <f t="shared" si="90"/>
        <v>323378</v>
      </c>
      <c r="U33" s="585">
        <f t="shared" si="90"/>
        <v>334560</v>
      </c>
      <c r="V33" s="585">
        <f t="shared" si="90"/>
        <v>346015</v>
      </c>
      <c r="W33" s="585">
        <f t="shared" si="90"/>
        <v>357744</v>
      </c>
      <c r="X33" s="585">
        <f t="shared" si="90"/>
        <v>369743</v>
      </c>
      <c r="Y33" s="585">
        <f t="shared" si="90"/>
        <v>382012</v>
      </c>
      <c r="Z33" s="585">
        <f t="shared" si="90"/>
        <v>394549</v>
      </c>
      <c r="AA33" s="585">
        <f t="shared" si="90"/>
        <v>407352</v>
      </c>
      <c r="AB33" s="585">
        <f t="shared" si="90"/>
        <v>420415</v>
      </c>
      <c r="AC33" s="585">
        <f t="shared" si="90"/>
        <v>433732</v>
      </c>
      <c r="AD33" s="585">
        <f t="shared" si="90"/>
        <v>447299</v>
      </c>
      <c r="AE33" s="585">
        <f t="shared" si="90"/>
        <v>461108</v>
      </c>
      <c r="AF33" s="585">
        <f t="shared" si="90"/>
        <v>475150</v>
      </c>
      <c r="AG33" s="585">
        <f t="shared" si="90"/>
        <v>489418</v>
      </c>
      <c r="AH33" s="585">
        <f t="shared" si="90"/>
        <v>503898</v>
      </c>
      <c r="AI33" s="585">
        <f t="shared" si="90"/>
        <v>518578</v>
      </c>
      <c r="AJ33" s="585">
        <f t="shared" si="90"/>
        <v>533446</v>
      </c>
      <c r="AK33" s="585">
        <f t="shared" si="90"/>
        <v>548483</v>
      </c>
      <c r="AL33" s="585">
        <f t="shared" si="90"/>
        <v>563670</v>
      </c>
      <c r="AM33" s="585">
        <f t="shared" si="90"/>
        <v>578991</v>
      </c>
      <c r="AN33" s="585">
        <f t="shared" ref="AN33" si="91">AN32-AN52</f>
        <v>594419</v>
      </c>
      <c r="AO33" s="585">
        <f t="shared" ref="AO33" si="92">AO32-AO52</f>
        <v>609933</v>
      </c>
      <c r="AP33" s="585">
        <f t="shared" ref="AP33" si="93">AP32-AP52</f>
        <v>625505</v>
      </c>
      <c r="AQ33" s="585">
        <f t="shared" ref="AQ33" si="94">AQ32-AQ52</f>
        <v>641103</v>
      </c>
      <c r="AR33" s="585">
        <f t="shared" ref="AR33" si="95">AR32-AR52</f>
        <v>656694</v>
      </c>
      <c r="AS33" s="585">
        <f t="shared" ref="AS33" si="96">AS32-AS52</f>
        <v>672245</v>
      </c>
      <c r="AT33" s="585">
        <f t="shared" ref="AT33" si="97">AT32-AT52</f>
        <v>687717</v>
      </c>
      <c r="AU33" s="585">
        <f t="shared" ref="AU33" si="98">AU32-AU52</f>
        <v>703067</v>
      </c>
      <c r="AV33" s="585">
        <f t="shared" ref="AV33" si="99">AV32-AV52</f>
        <v>718246</v>
      </c>
      <c r="AW33" s="585">
        <f t="shared" ref="AW33" si="100">AW32-AW52</f>
        <v>733205</v>
      </c>
      <c r="AX33" s="585">
        <f t="shared" ref="AX33" si="101">AX32-AX52</f>
        <v>747888</v>
      </c>
      <c r="AY33" s="585">
        <f t="shared" ref="AY33" si="102">AY32-AY52</f>
        <v>762235</v>
      </c>
      <c r="AZ33" s="585">
        <f t="shared" ref="AZ33" si="103">AZ32-AZ52</f>
        <v>776185</v>
      </c>
      <c r="BA33" s="585">
        <f t="shared" ref="BA33" si="104">BA32-BA52</f>
        <v>789665</v>
      </c>
      <c r="BB33" s="585">
        <f t="shared" ref="BB33" si="105">BB32-BB52</f>
        <v>802601</v>
      </c>
      <c r="BC33" s="585">
        <f t="shared" ref="BC33" si="106">BC32-BC52</f>
        <v>814911</v>
      </c>
      <c r="BD33" s="585">
        <f t="shared" ref="BD33" si="107">BD32-BD52</f>
        <v>826510</v>
      </c>
    </row>
    <row r="34" spans="1:56" x14ac:dyDescent="0.2">
      <c r="E34" s="585"/>
      <c r="F34" s="585"/>
      <c r="G34" s="585"/>
      <c r="H34" s="585"/>
      <c r="I34" s="585"/>
      <c r="J34" s="585"/>
      <c r="K34" s="585"/>
      <c r="L34" s="585"/>
      <c r="M34" s="585"/>
      <c r="N34" s="585"/>
      <c r="O34" s="585"/>
      <c r="P34" s="585"/>
      <c r="Q34" s="585"/>
      <c r="R34" s="585"/>
      <c r="S34" s="585"/>
      <c r="T34" s="585"/>
      <c r="U34" s="585"/>
      <c r="V34" s="585"/>
      <c r="W34" s="585"/>
      <c r="X34" s="585"/>
      <c r="Y34" s="585"/>
      <c r="Z34" s="585"/>
      <c r="AA34" s="585"/>
      <c r="AB34" s="585"/>
      <c r="AC34" s="585"/>
      <c r="AD34" s="585"/>
      <c r="AE34" s="585"/>
      <c r="AF34" s="585"/>
      <c r="AG34" s="585"/>
      <c r="AH34" s="585"/>
      <c r="AI34" s="585"/>
      <c r="AJ34" s="585"/>
      <c r="AK34" s="585"/>
      <c r="AL34" s="585"/>
      <c r="AM34" s="585"/>
      <c r="AN34" s="585"/>
      <c r="AO34" s="585"/>
      <c r="AP34" s="585"/>
      <c r="AQ34" s="585"/>
      <c r="AR34" s="585"/>
      <c r="AS34" s="585"/>
      <c r="AT34" s="585"/>
      <c r="AU34" s="585"/>
      <c r="AV34" s="585"/>
      <c r="AW34" s="585"/>
      <c r="AX34" s="585"/>
      <c r="AY34" s="585"/>
      <c r="AZ34" s="585"/>
      <c r="BA34" s="585"/>
      <c r="BB34" s="585"/>
      <c r="BC34" s="585"/>
      <c r="BD34" s="585"/>
    </row>
    <row r="35" spans="1:56" x14ac:dyDescent="0.2">
      <c r="D35" s="2" t="s">
        <v>488</v>
      </c>
      <c r="E35" s="585"/>
      <c r="F35" s="585"/>
      <c r="G35" s="585"/>
      <c r="H35" s="585"/>
      <c r="I35" s="585"/>
      <c r="J35" s="585"/>
      <c r="K35" s="585"/>
      <c r="L35" s="585"/>
      <c r="M35" s="585"/>
      <c r="N35" s="585"/>
      <c r="O35" s="585"/>
      <c r="P35" s="585"/>
      <c r="Q35" s="585"/>
      <c r="R35" s="585"/>
      <c r="S35" s="585"/>
      <c r="T35" s="585"/>
      <c r="U35" s="585"/>
      <c r="V35" s="585"/>
      <c r="W35" s="585"/>
      <c r="X35" s="585"/>
      <c r="Y35" s="585"/>
      <c r="Z35" s="585"/>
      <c r="AA35" s="585"/>
      <c r="AB35" s="585"/>
      <c r="AC35" s="585"/>
      <c r="AD35" s="585"/>
      <c r="AE35" s="585"/>
      <c r="AF35" s="585"/>
      <c r="AG35" s="585"/>
      <c r="AH35" s="585"/>
      <c r="AI35" s="585"/>
      <c r="AJ35" s="585"/>
      <c r="AK35" s="585"/>
      <c r="AL35" s="585"/>
      <c r="AM35" s="585"/>
      <c r="AN35" s="585"/>
      <c r="AO35" s="585"/>
      <c r="AP35" s="585"/>
      <c r="AQ35" s="585"/>
      <c r="AR35" s="585"/>
      <c r="AS35" s="585"/>
      <c r="AT35" s="585"/>
      <c r="AU35" s="585"/>
      <c r="AV35" s="585"/>
      <c r="AW35" s="585"/>
      <c r="AX35" s="585"/>
      <c r="AY35" s="585"/>
      <c r="AZ35" s="585"/>
      <c r="BA35" s="585"/>
      <c r="BB35" s="585"/>
      <c r="BC35" s="585"/>
      <c r="BD35" s="585"/>
    </row>
    <row r="36" spans="1:56" x14ac:dyDescent="0.2">
      <c r="A36" t="s">
        <v>526</v>
      </c>
      <c r="C36" t="s">
        <v>511</v>
      </c>
      <c r="D36" t="s">
        <v>490</v>
      </c>
      <c r="E36" s="585">
        <f>E32-E30</f>
        <v>23223.355588186532</v>
      </c>
      <c r="F36" s="585">
        <f t="shared" ref="F36:V36" si="108">F32-F30</f>
        <v>25698.355588186532</v>
      </c>
      <c r="G36" s="585">
        <f t="shared" si="108"/>
        <v>28378.355588186532</v>
      </c>
      <c r="H36" s="585">
        <f t="shared" si="108"/>
        <v>31276.355588186532</v>
      </c>
      <c r="I36" s="585">
        <f t="shared" si="108"/>
        <v>34408.355588186532</v>
      </c>
      <c r="J36" s="585">
        <f t="shared" si="108"/>
        <v>37791.355588186532</v>
      </c>
      <c r="K36" s="585">
        <f t="shared" si="108"/>
        <v>41441.355588186532</v>
      </c>
      <c r="L36" s="585">
        <f t="shared" si="108"/>
        <v>45377.355588186532</v>
      </c>
      <c r="M36" s="585">
        <f t="shared" si="108"/>
        <v>49617.355588186532</v>
      </c>
      <c r="N36" s="585">
        <f t="shared" si="108"/>
        <v>54182.355588186532</v>
      </c>
      <c r="O36" s="585">
        <f t="shared" si="108"/>
        <v>58981.355588186532</v>
      </c>
      <c r="P36" s="585">
        <f t="shared" si="108"/>
        <v>61252.355588186532</v>
      </c>
      <c r="Q36" s="585">
        <f t="shared" si="108"/>
        <v>63498.355588186532</v>
      </c>
      <c r="R36" s="585">
        <f t="shared" si="108"/>
        <v>65788.355588186532</v>
      </c>
      <c r="S36" s="585">
        <f t="shared" si="108"/>
        <v>68130.355588186532</v>
      </c>
      <c r="T36" s="585">
        <f t="shared" si="108"/>
        <v>70535.355588186532</v>
      </c>
      <c r="U36" s="585">
        <f t="shared" si="108"/>
        <v>73000.355588186532</v>
      </c>
      <c r="V36" s="585">
        <f t="shared" si="108"/>
        <v>75527.355588186532</v>
      </c>
      <c r="W36" s="585">
        <f t="shared" ref="W36:Z36" si="109">W32-W30</f>
        <v>78115.355588186532</v>
      </c>
      <c r="X36" s="585">
        <f t="shared" si="109"/>
        <v>80763.355588186532</v>
      </c>
      <c r="Y36" s="585">
        <f t="shared" si="109"/>
        <v>83472.355588186532</v>
      </c>
      <c r="Z36" s="585">
        <f t="shared" si="109"/>
        <v>86241.355588186532</v>
      </c>
      <c r="AA36" s="585">
        <f t="shared" ref="AA36:AG36" si="110">AA32-AA30</f>
        <v>89070.355588186532</v>
      </c>
      <c r="AB36" s="585">
        <f t="shared" si="110"/>
        <v>91959.355588186532</v>
      </c>
      <c r="AC36" s="585">
        <f t="shared" si="110"/>
        <v>94906.355588186532</v>
      </c>
      <c r="AD36" s="585">
        <f t="shared" si="110"/>
        <v>97908.355588186532</v>
      </c>
      <c r="AE36" s="585">
        <f t="shared" si="110"/>
        <v>100966.35558818653</v>
      </c>
      <c r="AF36" s="585">
        <f t="shared" si="110"/>
        <v>104076.35558818653</v>
      </c>
      <c r="AG36" s="585">
        <f t="shared" si="110"/>
        <v>107240.35558818653</v>
      </c>
      <c r="AH36" s="585">
        <f t="shared" ref="AH36:AM36" si="111">AH32-AH30</f>
        <v>110452.35558818653</v>
      </c>
      <c r="AI36" s="585">
        <f t="shared" si="111"/>
        <v>113709.35558818653</v>
      </c>
      <c r="AJ36" s="585">
        <f t="shared" si="111"/>
        <v>117012.35558818653</v>
      </c>
      <c r="AK36" s="585">
        <f t="shared" si="111"/>
        <v>120355.35558818653</v>
      </c>
      <c r="AL36" s="585">
        <f t="shared" si="111"/>
        <v>123733.35558818653</v>
      </c>
      <c r="AM36" s="585">
        <f t="shared" si="111"/>
        <v>127144.35558818653</v>
      </c>
      <c r="AN36" s="585">
        <f t="shared" ref="AN36:BD36" si="112">AN32-AN30</f>
        <v>130580.35558818653</v>
      </c>
      <c r="AO36" s="585">
        <f t="shared" si="112"/>
        <v>134040.35558818653</v>
      </c>
      <c r="AP36" s="585">
        <f t="shared" si="112"/>
        <v>137517.35558818653</v>
      </c>
      <c r="AQ36" s="585">
        <f t="shared" si="112"/>
        <v>141003.35558818653</v>
      </c>
      <c r="AR36" s="585">
        <f t="shared" si="112"/>
        <v>144491.35558818653</v>
      </c>
      <c r="AS36" s="585">
        <f t="shared" si="112"/>
        <v>147975.35558818653</v>
      </c>
      <c r="AT36" s="585">
        <f t="shared" si="112"/>
        <v>151446.35558818653</v>
      </c>
      <c r="AU36" s="585">
        <f t="shared" si="112"/>
        <v>154896.35558818653</v>
      </c>
      <c r="AV36" s="585">
        <f t="shared" si="112"/>
        <v>158313.35558818653</v>
      </c>
      <c r="AW36" s="585">
        <f t="shared" si="112"/>
        <v>161687.35558818653</v>
      </c>
      <c r="AX36" s="585">
        <f t="shared" si="112"/>
        <v>165005.35558818653</v>
      </c>
      <c r="AY36" s="585">
        <f t="shared" si="112"/>
        <v>168254.35558818653</v>
      </c>
      <c r="AZ36" s="585">
        <f t="shared" si="112"/>
        <v>171423.35558818653</v>
      </c>
      <c r="BA36" s="585">
        <f t="shared" si="112"/>
        <v>174496.35558818653</v>
      </c>
      <c r="BB36" s="585">
        <f t="shared" si="112"/>
        <v>177455.35558818653</v>
      </c>
      <c r="BC36" s="585">
        <f t="shared" si="112"/>
        <v>180283.35558818653</v>
      </c>
      <c r="BD36" s="585">
        <f t="shared" si="112"/>
        <v>182962.35558818653</v>
      </c>
    </row>
    <row r="37" spans="1:56" x14ac:dyDescent="0.2">
      <c r="A37" t="s">
        <v>527</v>
      </c>
      <c r="C37" t="s">
        <v>502</v>
      </c>
      <c r="D37" t="s">
        <v>489</v>
      </c>
      <c r="E37" s="585">
        <f>E32-E31</f>
        <v>55053</v>
      </c>
      <c r="F37" s="585">
        <f t="shared" ref="F37:V37" si="113">F32-F31</f>
        <v>58916</v>
      </c>
      <c r="G37" s="585">
        <f t="shared" si="113"/>
        <v>63033</v>
      </c>
      <c r="H37" s="585">
        <f t="shared" si="113"/>
        <v>67420</v>
      </c>
      <c r="I37" s="585">
        <f t="shared" si="113"/>
        <v>72095</v>
      </c>
      <c r="J37" s="585">
        <f t="shared" si="113"/>
        <v>77076</v>
      </c>
      <c r="K37" s="585">
        <f t="shared" si="113"/>
        <v>82383</v>
      </c>
      <c r="L37" s="585">
        <f t="shared" si="113"/>
        <v>88036</v>
      </c>
      <c r="M37" s="585">
        <f t="shared" si="113"/>
        <v>94058</v>
      </c>
      <c r="N37" s="585">
        <f t="shared" si="113"/>
        <v>100472</v>
      </c>
      <c r="O37" s="585">
        <f t="shared" si="113"/>
        <v>107187</v>
      </c>
      <c r="P37" s="585">
        <f t="shared" si="113"/>
        <v>111448</v>
      </c>
      <c r="Q37" s="585">
        <f t="shared" si="113"/>
        <v>115759</v>
      </c>
      <c r="R37" s="585">
        <f t="shared" si="113"/>
        <v>120193</v>
      </c>
      <c r="S37" s="585">
        <f t="shared" si="113"/>
        <v>124764</v>
      </c>
      <c r="T37" s="585">
        <f t="shared" si="113"/>
        <v>129485</v>
      </c>
      <c r="U37" s="585">
        <f t="shared" si="113"/>
        <v>134357</v>
      </c>
      <c r="V37" s="585">
        <f t="shared" si="113"/>
        <v>139388</v>
      </c>
      <c r="W37" s="585">
        <f t="shared" ref="W37:Z37" si="114">W32-W31</f>
        <v>144582</v>
      </c>
      <c r="X37" s="585">
        <f t="shared" si="114"/>
        <v>149943</v>
      </c>
      <c r="Y37" s="585">
        <f t="shared" si="114"/>
        <v>155478</v>
      </c>
      <c r="Z37" s="585">
        <f t="shared" si="114"/>
        <v>161194</v>
      </c>
      <c r="AA37" s="585">
        <f t="shared" ref="AA37:AG37" si="115">AA32-AA31</f>
        <v>167097</v>
      </c>
      <c r="AB37" s="585">
        <f t="shared" si="115"/>
        <v>173194</v>
      </c>
      <c r="AC37" s="585">
        <f t="shared" si="115"/>
        <v>179491</v>
      </c>
      <c r="AD37" s="585">
        <f t="shared" si="115"/>
        <v>185995</v>
      </c>
      <c r="AE37" s="585">
        <f t="shared" si="115"/>
        <v>192716</v>
      </c>
      <c r="AF37" s="585">
        <f t="shared" si="115"/>
        <v>199660</v>
      </c>
      <c r="AG37" s="585">
        <f t="shared" si="115"/>
        <v>206840</v>
      </c>
      <c r="AH37" s="585">
        <f t="shared" ref="AH37:AM37" si="116">AH32-AH31</f>
        <v>214262</v>
      </c>
      <c r="AI37" s="585">
        <f t="shared" si="116"/>
        <v>221937</v>
      </c>
      <c r="AJ37" s="585">
        <f t="shared" si="116"/>
        <v>229879</v>
      </c>
      <c r="AK37" s="585">
        <f t="shared" si="116"/>
        <v>238096</v>
      </c>
      <c r="AL37" s="585">
        <f t="shared" si="116"/>
        <v>246601</v>
      </c>
      <c r="AM37" s="585">
        <f t="shared" si="116"/>
        <v>255409</v>
      </c>
      <c r="AN37" s="585">
        <f t="shared" ref="AN37:BD37" si="117">AN32-AN31</f>
        <v>264531</v>
      </c>
      <c r="AO37" s="585">
        <f t="shared" si="117"/>
        <v>273985</v>
      </c>
      <c r="AP37" s="585">
        <f t="shared" si="117"/>
        <v>283787</v>
      </c>
      <c r="AQ37" s="585">
        <f t="shared" si="117"/>
        <v>293953</v>
      </c>
      <c r="AR37" s="585">
        <f t="shared" si="117"/>
        <v>304502</v>
      </c>
      <c r="AS37" s="585">
        <f t="shared" si="117"/>
        <v>315457</v>
      </c>
      <c r="AT37" s="585">
        <f t="shared" si="117"/>
        <v>326839</v>
      </c>
      <c r="AU37" s="585">
        <f t="shared" si="117"/>
        <v>338671</v>
      </c>
      <c r="AV37" s="585">
        <f t="shared" si="117"/>
        <v>350977</v>
      </c>
      <c r="AW37" s="585">
        <f t="shared" si="117"/>
        <v>363787</v>
      </c>
      <c r="AX37" s="585">
        <f t="shared" si="117"/>
        <v>377128</v>
      </c>
      <c r="AY37" s="585">
        <f t="shared" si="117"/>
        <v>391033</v>
      </c>
      <c r="AZ37" s="585">
        <f t="shared" si="117"/>
        <v>405539</v>
      </c>
      <c r="BA37" s="585">
        <f t="shared" si="117"/>
        <v>420681</v>
      </c>
      <c r="BB37" s="585">
        <f t="shared" si="117"/>
        <v>436499</v>
      </c>
      <c r="BC37" s="585">
        <f t="shared" si="117"/>
        <v>453037</v>
      </c>
      <c r="BD37" s="585">
        <f t="shared" si="117"/>
        <v>470343</v>
      </c>
    </row>
    <row r="38" spans="1:56" x14ac:dyDescent="0.2">
      <c r="A38" t="s">
        <v>534</v>
      </c>
      <c r="C38" t="s">
        <v>512</v>
      </c>
      <c r="D38" t="s">
        <v>530</v>
      </c>
      <c r="E38" s="585"/>
      <c r="F38" s="585"/>
      <c r="G38" s="585">
        <f>G33-G30</f>
        <v>26751.355588186532</v>
      </c>
      <c r="H38" s="585">
        <f t="shared" ref="H38:AM38" si="118">H33-H30</f>
        <v>29570.355588186532</v>
      </c>
      <c r="I38" s="585">
        <f t="shared" si="118"/>
        <v>32620.355588186532</v>
      </c>
      <c r="J38" s="585">
        <f t="shared" si="118"/>
        <v>35917.355588186532</v>
      </c>
      <c r="K38" s="585">
        <f t="shared" si="118"/>
        <v>39477.355588186532</v>
      </c>
      <c r="L38" s="585">
        <f t="shared" si="118"/>
        <v>43319.355588186532</v>
      </c>
      <c r="M38" s="585">
        <f t="shared" si="118"/>
        <v>47461.355588186532</v>
      </c>
      <c r="N38" s="585">
        <f t="shared" si="118"/>
        <v>51923.355588186532</v>
      </c>
      <c r="O38" s="585">
        <f t="shared" si="118"/>
        <v>56614.355588186532</v>
      </c>
      <c r="P38" s="585">
        <f t="shared" si="118"/>
        <v>58779.355588186532</v>
      </c>
      <c r="Q38" s="585">
        <f t="shared" si="118"/>
        <v>60929.355588186532</v>
      </c>
      <c r="R38" s="585">
        <f t="shared" si="118"/>
        <v>63127.355588186532</v>
      </c>
      <c r="S38" s="585">
        <f t="shared" si="118"/>
        <v>65374.355588186532</v>
      </c>
      <c r="T38" s="585">
        <f t="shared" si="118"/>
        <v>67682.355588186532</v>
      </c>
      <c r="U38" s="585">
        <f t="shared" si="118"/>
        <v>70047.355588186532</v>
      </c>
      <c r="V38" s="585">
        <f t="shared" si="118"/>
        <v>72471.355588186532</v>
      </c>
      <c r="W38" s="585">
        <f t="shared" si="118"/>
        <v>74955.355588186532</v>
      </c>
      <c r="X38" s="585">
        <f t="shared" si="118"/>
        <v>77496.355588186532</v>
      </c>
      <c r="Y38" s="585">
        <f t="shared" si="118"/>
        <v>80095.355588186532</v>
      </c>
      <c r="Z38" s="585">
        <f t="shared" si="118"/>
        <v>82752.355588186532</v>
      </c>
      <c r="AA38" s="585">
        <f t="shared" si="118"/>
        <v>85467.355588186532</v>
      </c>
      <c r="AB38" s="585">
        <f t="shared" si="118"/>
        <v>88239.355588186532</v>
      </c>
      <c r="AC38" s="585">
        <f t="shared" si="118"/>
        <v>91066.355588186532</v>
      </c>
      <c r="AD38" s="585">
        <f t="shared" si="118"/>
        <v>93947.355588186532</v>
      </c>
      <c r="AE38" s="585">
        <f t="shared" si="118"/>
        <v>96881.355588186532</v>
      </c>
      <c r="AF38" s="585">
        <f t="shared" si="118"/>
        <v>99865.355588186532</v>
      </c>
      <c r="AG38" s="585">
        <f t="shared" si="118"/>
        <v>102901.35558818653</v>
      </c>
      <c r="AH38" s="585">
        <f t="shared" si="118"/>
        <v>105983.35558818653</v>
      </c>
      <c r="AI38" s="585">
        <f t="shared" si="118"/>
        <v>109108.35558818653</v>
      </c>
      <c r="AJ38" s="585">
        <f t="shared" si="118"/>
        <v>112277.35558818653</v>
      </c>
      <c r="AK38" s="585">
        <f t="shared" si="118"/>
        <v>115484.35558818653</v>
      </c>
      <c r="AL38" s="585">
        <f t="shared" si="118"/>
        <v>118724.35558818653</v>
      </c>
      <c r="AM38" s="585">
        <f t="shared" si="118"/>
        <v>121997.35558818653</v>
      </c>
      <c r="AN38" s="585">
        <f t="shared" ref="AN38:BD38" si="119">AN33-AN30</f>
        <v>125293.35558818653</v>
      </c>
      <c r="AO38" s="585">
        <f t="shared" si="119"/>
        <v>128612.35558818653</v>
      </c>
      <c r="AP38" s="585">
        <f t="shared" si="119"/>
        <v>131948.35558818653</v>
      </c>
      <c r="AQ38" s="585">
        <f t="shared" si="119"/>
        <v>135292.35558818653</v>
      </c>
      <c r="AR38" s="585">
        <f t="shared" si="119"/>
        <v>138637.35558818653</v>
      </c>
      <c r="AS38" s="585">
        <f t="shared" si="119"/>
        <v>141978.35558818653</v>
      </c>
      <c r="AT38" s="585">
        <f t="shared" si="119"/>
        <v>145307.35558818653</v>
      </c>
      <c r="AU38" s="585">
        <f t="shared" si="119"/>
        <v>148616.35558818653</v>
      </c>
      <c r="AV38" s="585">
        <f t="shared" si="119"/>
        <v>151893.35558818653</v>
      </c>
      <c r="AW38" s="585">
        <f t="shared" si="119"/>
        <v>155129.35558818653</v>
      </c>
      <c r="AX38" s="585">
        <f t="shared" si="119"/>
        <v>158311.35558818653</v>
      </c>
      <c r="AY38" s="585">
        <f t="shared" si="119"/>
        <v>161426.35558818653</v>
      </c>
      <c r="AZ38" s="585">
        <f t="shared" si="119"/>
        <v>164464.35558818653</v>
      </c>
      <c r="BA38" s="585">
        <f t="shared" si="119"/>
        <v>167409.35558818653</v>
      </c>
      <c r="BB38" s="585">
        <f t="shared" si="119"/>
        <v>170245.35558818653</v>
      </c>
      <c r="BC38" s="585">
        <f t="shared" si="119"/>
        <v>172955.35558818653</v>
      </c>
      <c r="BD38" s="585">
        <f t="shared" si="119"/>
        <v>175522.35558818653</v>
      </c>
    </row>
    <row r="40" spans="1:56" x14ac:dyDescent="0.2">
      <c r="D40" s="2" t="s">
        <v>491</v>
      </c>
    </row>
    <row r="41" spans="1:56" x14ac:dyDescent="0.2">
      <c r="A41" t="s">
        <v>528</v>
      </c>
      <c r="C41" t="s">
        <v>531</v>
      </c>
      <c r="D41" t="s">
        <v>490</v>
      </c>
      <c r="E41" s="583">
        <f>E32/E30</f>
        <v>1.1567063524303069</v>
      </c>
      <c r="F41" s="583">
        <f t="shared" ref="F41:V41" si="120">F32/F30</f>
        <v>1.1668695734825656</v>
      </c>
      <c r="G41" s="583">
        <f t="shared" si="120"/>
        <v>1.1773762026443451</v>
      </c>
      <c r="H41" s="583">
        <f t="shared" si="120"/>
        <v>1.1882284909908059</v>
      </c>
      <c r="I41" s="583">
        <f t="shared" si="120"/>
        <v>1.1994437028785381</v>
      </c>
      <c r="J41" s="583">
        <f t="shared" si="120"/>
        <v>1.2110404230235203</v>
      </c>
      <c r="K41" s="583">
        <f t="shared" si="120"/>
        <v>1.2230228390969258</v>
      </c>
      <c r="L41" s="583">
        <f t="shared" si="120"/>
        <v>1.2354102236330393</v>
      </c>
      <c r="M41" s="583">
        <f t="shared" si="120"/>
        <v>1.2482088415739632</v>
      </c>
      <c r="N41" s="583">
        <f t="shared" si="120"/>
        <v>1.261437739096918</v>
      </c>
      <c r="O41" s="583">
        <f t="shared" si="120"/>
        <v>1.2745903277929183</v>
      </c>
      <c r="P41" s="583">
        <f t="shared" si="120"/>
        <v>1.2752226561140194</v>
      </c>
      <c r="Q41" s="583">
        <f t="shared" si="120"/>
        <v>1.2754538746083048</v>
      </c>
      <c r="R41" s="583">
        <f t="shared" si="120"/>
        <v>1.2756102973676371</v>
      </c>
      <c r="S41" s="583">
        <f t="shared" si="120"/>
        <v>1.2757290953741744</v>
      </c>
      <c r="T41" s="583">
        <f t="shared" si="120"/>
        <v>1.2758566957620328</v>
      </c>
      <c r="U41" s="583">
        <f t="shared" si="120"/>
        <v>1.2759805897011638</v>
      </c>
      <c r="V41" s="583">
        <f t="shared" si="120"/>
        <v>1.2761071482782538</v>
      </c>
      <c r="W41" s="583">
        <f t="shared" ref="W41:Z41" si="121">W32/W30</f>
        <v>1.2762322926744907</v>
      </c>
      <c r="X41" s="583">
        <f t="shared" si="121"/>
        <v>1.2763534060441786</v>
      </c>
      <c r="Y41" s="583">
        <f t="shared" si="121"/>
        <v>1.2764748387781182</v>
      </c>
      <c r="Z41" s="583">
        <f t="shared" si="121"/>
        <v>1.2765948804576648</v>
      </c>
      <c r="AA41" s="583">
        <f t="shared" ref="AA41:AG41" si="122">AA32/AA30</f>
        <v>1.2767151435600372</v>
      </c>
      <c r="AB41" s="583">
        <f t="shared" si="122"/>
        <v>1.2768395490013118</v>
      </c>
      <c r="AC41" s="583">
        <f t="shared" si="122"/>
        <v>1.2769648989792763</v>
      </c>
      <c r="AD41" s="583">
        <f t="shared" si="122"/>
        <v>1.2770847600020769</v>
      </c>
      <c r="AE41" s="583">
        <f t="shared" si="122"/>
        <v>1.2772074946665042</v>
      </c>
      <c r="AF41" s="583">
        <f t="shared" si="122"/>
        <v>1.2773264431090865</v>
      </c>
      <c r="AG41" s="583">
        <f t="shared" si="122"/>
        <v>1.2774533959627556</v>
      </c>
      <c r="AH41" s="583">
        <f t="shared" ref="AH41:AM41" si="123">AH32/AH30</f>
        <v>1.2775780111120418</v>
      </c>
      <c r="AI41" s="583">
        <f t="shared" si="123"/>
        <v>1.2776991094212256</v>
      </c>
      <c r="AJ41" s="583">
        <f t="shared" si="123"/>
        <v>1.2778277944969079</v>
      </c>
      <c r="AK41" s="583">
        <f t="shared" si="123"/>
        <v>1.2779578115115755</v>
      </c>
      <c r="AL41" s="583">
        <f t="shared" si="123"/>
        <v>1.2780864520019142</v>
      </c>
      <c r="AM41" s="583">
        <f t="shared" si="123"/>
        <v>1.2782190893526129</v>
      </c>
      <c r="AN41" s="583">
        <f t="shared" ref="AN41:BD41" si="124">AN32/AN30</f>
        <v>1.2783483639055957</v>
      </c>
      <c r="AO41" s="583">
        <f t="shared" si="124"/>
        <v>1.2784845344665974</v>
      </c>
      <c r="AP41" s="583">
        <f t="shared" si="124"/>
        <v>1.2786252746167974</v>
      </c>
      <c r="AQ41" s="583">
        <f t="shared" si="124"/>
        <v>1.2787670784432652</v>
      </c>
      <c r="AR41" s="583">
        <f t="shared" si="124"/>
        <v>1.278910341459355</v>
      </c>
      <c r="AS41" s="583">
        <f t="shared" si="124"/>
        <v>1.2790583891097373</v>
      </c>
      <c r="AT41" s="583">
        <f t="shared" si="124"/>
        <v>1.2792102927159679</v>
      </c>
      <c r="AU41" s="583">
        <f t="shared" si="124"/>
        <v>1.2793690604373049</v>
      </c>
      <c r="AV41" s="583">
        <f t="shared" si="124"/>
        <v>1.2795314141290948</v>
      </c>
      <c r="AW41" s="583">
        <f t="shared" si="124"/>
        <v>1.279699304323229</v>
      </c>
      <c r="AX41" s="583">
        <f t="shared" si="124"/>
        <v>1.2798709161093089</v>
      </c>
      <c r="AY41" s="583">
        <f t="shared" si="124"/>
        <v>1.2800464959236832</v>
      </c>
      <c r="AZ41" s="583">
        <f t="shared" si="124"/>
        <v>1.2802314375919337</v>
      </c>
      <c r="BA41" s="583">
        <f t="shared" si="124"/>
        <v>1.2804255086398277</v>
      </c>
      <c r="BB41" s="583">
        <f t="shared" si="124"/>
        <v>1.2806258743104078</v>
      </c>
      <c r="BC41" s="583">
        <f t="shared" si="124"/>
        <v>1.2808345983987253</v>
      </c>
      <c r="BD41" s="583">
        <f t="shared" si="124"/>
        <v>1.281053499492296</v>
      </c>
    </row>
    <row r="42" spans="1:56" x14ac:dyDescent="0.2">
      <c r="A42" t="s">
        <v>529</v>
      </c>
      <c r="C42" t="s">
        <v>532</v>
      </c>
      <c r="D42" t="s">
        <v>489</v>
      </c>
      <c r="E42" s="583">
        <f>E32/E31</f>
        <v>1.473098043259687</v>
      </c>
      <c r="F42" s="583">
        <f t="shared" ref="F42:V42" si="125">F32/F31</f>
        <v>1.4877757999751624</v>
      </c>
      <c r="G42" s="583">
        <f t="shared" si="125"/>
        <v>1.5029161846252044</v>
      </c>
      <c r="H42" s="583">
        <f t="shared" si="125"/>
        <v>1.5185435862726699</v>
      </c>
      <c r="I42" s="583">
        <f t="shared" si="125"/>
        <v>1.5346905477064561</v>
      </c>
      <c r="J42" s="583">
        <f t="shared" si="125"/>
        <v>1.5513817450835914</v>
      </c>
      <c r="K42" s="583">
        <f t="shared" si="125"/>
        <v>1.568648835202761</v>
      </c>
      <c r="L42" s="583">
        <f t="shared" si="125"/>
        <v>1.5865156562291804</v>
      </c>
      <c r="M42" s="583">
        <f t="shared" si="125"/>
        <v>1.6050263410115719</v>
      </c>
      <c r="N42" s="583">
        <f t="shared" si="125"/>
        <v>1.6242125274916437</v>
      </c>
      <c r="O42" s="583">
        <f t="shared" si="125"/>
        <v>1.6434102477910104</v>
      </c>
      <c r="P42" s="583">
        <f t="shared" si="125"/>
        <v>1.6466001392434439</v>
      </c>
      <c r="Q42" s="583">
        <f t="shared" si="125"/>
        <v>1.6493756381057096</v>
      </c>
      <c r="R42" s="583">
        <f t="shared" si="125"/>
        <v>1.6521736771280984</v>
      </c>
      <c r="S42" s="583">
        <f t="shared" si="125"/>
        <v>1.6550735595249346</v>
      </c>
      <c r="T42" s="583">
        <f t="shared" si="125"/>
        <v>1.6581328209976314</v>
      </c>
      <c r="U42" s="583">
        <f t="shared" si="125"/>
        <v>1.6613489141349504</v>
      </c>
      <c r="V42" s="583">
        <f t="shared" si="125"/>
        <v>1.664755845729029</v>
      </c>
      <c r="W42" s="583">
        <f t="shared" ref="W42:Z42" si="126">W32/W31</f>
        <v>1.6683647525448175</v>
      </c>
      <c r="X42" s="583">
        <f t="shared" si="126"/>
        <v>1.6721881766464783</v>
      </c>
      <c r="Y42" s="583">
        <f t="shared" si="126"/>
        <v>1.6762529848506595</v>
      </c>
      <c r="Z42" s="583">
        <f t="shared" si="126"/>
        <v>1.6805914441573355</v>
      </c>
      <c r="AA42" s="583">
        <f t="shared" ref="AA42:AG42" si="127">AA32/AA31</f>
        <v>1.6852225475481633</v>
      </c>
      <c r="AB42" s="583">
        <f t="shared" si="127"/>
        <v>1.6901781693704894</v>
      </c>
      <c r="AC42" s="583">
        <f t="shared" si="127"/>
        <v>1.6954832010105354</v>
      </c>
      <c r="AD42" s="583">
        <f t="shared" si="127"/>
        <v>1.7011667577705314</v>
      </c>
      <c r="AE42" s="583">
        <f t="shared" si="127"/>
        <v>1.7072743754518731</v>
      </c>
      <c r="AF42" s="583">
        <f t="shared" si="127"/>
        <v>1.7138337009878406</v>
      </c>
      <c r="AG42" s="583">
        <f t="shared" si="127"/>
        <v>1.7209053489336636</v>
      </c>
      <c r="AH42" s="583">
        <f t="shared" ref="AH42:AM42" si="128">AH32/AH31</f>
        <v>1.7285221264514374</v>
      </c>
      <c r="AI42" s="583">
        <f t="shared" si="128"/>
        <v>1.7367398968271357</v>
      </c>
      <c r="AJ42" s="583">
        <f t="shared" si="128"/>
        <v>1.7456292855706417</v>
      </c>
      <c r="AK42" s="583">
        <f t="shared" si="128"/>
        <v>1.7552417385125834</v>
      </c>
      <c r="AL42" s="583">
        <f t="shared" si="128"/>
        <v>1.7656561454057713</v>
      </c>
      <c r="AM42" s="583">
        <f t="shared" si="128"/>
        <v>1.7769591365532096</v>
      </c>
      <c r="AN42" s="583">
        <f t="shared" ref="AN42:BD42" si="129">AN32/AN31</f>
        <v>1.7892324904900425</v>
      </c>
      <c r="AO42" s="583">
        <f t="shared" si="129"/>
        <v>1.8025901059242595</v>
      </c>
      <c r="AP42" s="583">
        <f t="shared" si="129"/>
        <v>1.8171541117289158</v>
      </c>
      <c r="AQ42" s="583">
        <f t="shared" si="129"/>
        <v>1.8330560759052432</v>
      </c>
      <c r="AR42" s="583">
        <f t="shared" si="129"/>
        <v>1.8504549694731962</v>
      </c>
      <c r="AS42" s="583">
        <f t="shared" si="129"/>
        <v>1.8695425665338974</v>
      </c>
      <c r="AT42" s="583">
        <f t="shared" si="129"/>
        <v>1.8905282316622936</v>
      </c>
      <c r="AU42" s="583">
        <f t="shared" si="129"/>
        <v>1.9136577496250093</v>
      </c>
      <c r="AV42" s="583">
        <f t="shared" si="129"/>
        <v>1.9392221874339357</v>
      </c>
      <c r="AW42" s="583">
        <f t="shared" si="129"/>
        <v>1.9675803774709024</v>
      </c>
      <c r="AX42" s="583">
        <f t="shared" si="129"/>
        <v>1.9991363185977629</v>
      </c>
      <c r="AY42" s="583">
        <f t="shared" si="129"/>
        <v>2.0343967409993917</v>
      </c>
      <c r="AZ42" s="583">
        <f t="shared" si="129"/>
        <v>2.0739767746719457</v>
      </c>
      <c r="BA42" s="583">
        <f t="shared" si="129"/>
        <v>2.1186212178019574</v>
      </c>
      <c r="BB42" s="583">
        <f t="shared" si="129"/>
        <v>2.1692605648894223</v>
      </c>
      <c r="BC42" s="583">
        <f t="shared" si="129"/>
        <v>2.2270708176012048</v>
      </c>
      <c r="BD42" s="583">
        <f t="shared" si="129"/>
        <v>2.293547703977096</v>
      </c>
    </row>
    <row r="43" spans="1:56" s="506" customFormat="1" x14ac:dyDescent="0.2">
      <c r="A43" s="506" t="s">
        <v>535</v>
      </c>
      <c r="C43" s="506" t="s">
        <v>533</v>
      </c>
      <c r="D43" s="506" t="s">
        <v>530</v>
      </c>
      <c r="G43" s="592">
        <f>G33/G30</f>
        <v>1.1672067944555744</v>
      </c>
      <c r="H43" s="592">
        <f t="shared" ref="H43:AM43" si="130">H33/H30</f>
        <v>1.1779613802743769</v>
      </c>
      <c r="I43" s="592">
        <f t="shared" si="130"/>
        <v>1.1890797858981736</v>
      </c>
      <c r="J43" s="592">
        <f t="shared" si="130"/>
        <v>1.200575337911048</v>
      </c>
      <c r="K43" s="592">
        <f t="shared" si="130"/>
        <v>1.2124532800231578</v>
      </c>
      <c r="L43" s="592">
        <f t="shared" si="130"/>
        <v>1.2247336596517984</v>
      </c>
      <c r="M43" s="592">
        <f t="shared" si="130"/>
        <v>1.2374235375993823</v>
      </c>
      <c r="N43" s="592">
        <f t="shared" si="130"/>
        <v>1.2505377358355481</v>
      </c>
      <c r="O43" s="592">
        <f t="shared" si="130"/>
        <v>1.26357065387386</v>
      </c>
      <c r="P43" s="592">
        <f t="shared" si="130"/>
        <v>1.2641108282988416</v>
      </c>
      <c r="Q43" s="592">
        <f t="shared" si="130"/>
        <v>1.2643096331974235</v>
      </c>
      <c r="R43" s="592">
        <f t="shared" si="130"/>
        <v>1.2644624430895015</v>
      </c>
      <c r="S43" s="592">
        <f t="shared" si="130"/>
        <v>1.264575339015636</v>
      </c>
      <c r="T43" s="592">
        <f t="shared" si="130"/>
        <v>1.2646988991301704</v>
      </c>
      <c r="U43" s="592">
        <f t="shared" si="130"/>
        <v>1.2648166621446326</v>
      </c>
      <c r="V43" s="592">
        <f t="shared" si="130"/>
        <v>1.2649352564707468</v>
      </c>
      <c r="W43" s="592">
        <f t="shared" si="130"/>
        <v>1.2650578694349273</v>
      </c>
      <c r="X43" s="592">
        <f t="shared" si="130"/>
        <v>1.2651744924023289</v>
      </c>
      <c r="Y43" s="592">
        <f t="shared" si="130"/>
        <v>1.2652896323229423</v>
      </c>
      <c r="Z43" s="592">
        <f t="shared" si="130"/>
        <v>1.2654048947328926</v>
      </c>
      <c r="AA43" s="592">
        <f t="shared" si="130"/>
        <v>1.2655216925441188</v>
      </c>
      <c r="AB43" s="592">
        <f t="shared" si="130"/>
        <v>1.265640654492995</v>
      </c>
      <c r="AC43" s="592">
        <f t="shared" si="130"/>
        <v>1.2657586398674492</v>
      </c>
      <c r="AD43" s="592">
        <f t="shared" si="130"/>
        <v>1.265874963577913</v>
      </c>
      <c r="AE43" s="592">
        <f t="shared" si="130"/>
        <v>1.2659919505467245</v>
      </c>
      <c r="AF43" s="592">
        <f t="shared" si="130"/>
        <v>1.2661056269560569</v>
      </c>
      <c r="AG43" s="592">
        <f t="shared" si="130"/>
        <v>1.2662274887146916</v>
      </c>
      <c r="AH43" s="592">
        <f t="shared" si="130"/>
        <v>1.266346959270243</v>
      </c>
      <c r="AI43" s="592">
        <f t="shared" si="130"/>
        <v>1.2664626232426002</v>
      </c>
      <c r="AJ43" s="592">
        <f t="shared" si="130"/>
        <v>1.2665852671558406</v>
      </c>
      <c r="AK43" s="592">
        <f t="shared" si="130"/>
        <v>1.266708353660231</v>
      </c>
      <c r="AL43" s="592">
        <f t="shared" si="130"/>
        <v>1.2668288971456989</v>
      </c>
      <c r="AM43" s="592">
        <f t="shared" si="130"/>
        <v>1.2669563506626151</v>
      </c>
      <c r="AN43" s="592">
        <f t="shared" ref="AN43:BD43" si="131">AN33/AN30</f>
        <v>1.2670784619870408</v>
      </c>
      <c r="AO43" s="592">
        <f t="shared" si="131"/>
        <v>1.2672072288637322</v>
      </c>
      <c r="AP43" s="592">
        <f t="shared" si="131"/>
        <v>1.2673418686226652</v>
      </c>
      <c r="AQ43" s="592">
        <f t="shared" si="131"/>
        <v>1.2674762919343314</v>
      </c>
      <c r="AR43" s="592">
        <f t="shared" si="131"/>
        <v>1.2676104188289901</v>
      </c>
      <c r="AS43" s="592">
        <f t="shared" si="131"/>
        <v>1.2677489845616687</v>
      </c>
      <c r="AT43" s="592">
        <f t="shared" si="131"/>
        <v>1.2678922786222895</v>
      </c>
      <c r="AU43" s="592">
        <f t="shared" si="131"/>
        <v>1.2680425337873771</v>
      </c>
      <c r="AV43" s="592">
        <f t="shared" si="131"/>
        <v>1.2681957206113792</v>
      </c>
      <c r="AW43" s="592">
        <f t="shared" si="131"/>
        <v>1.2683547682518768</v>
      </c>
      <c r="AX43" s="592">
        <f t="shared" si="131"/>
        <v>1.2685170063785762</v>
      </c>
      <c r="AY43" s="592">
        <f t="shared" si="131"/>
        <v>1.2686818125698267</v>
      </c>
      <c r="AZ43" s="592">
        <f t="shared" si="131"/>
        <v>1.268855329782639</v>
      </c>
      <c r="BA43" s="592">
        <f t="shared" si="131"/>
        <v>1.269036298973921</v>
      </c>
      <c r="BB43" s="592">
        <f t="shared" si="131"/>
        <v>1.2692240625867117</v>
      </c>
      <c r="BC43" s="592">
        <f t="shared" si="131"/>
        <v>1.2694194795135034</v>
      </c>
      <c r="BD43" s="592">
        <f t="shared" si="131"/>
        <v>1.2696247111522003</v>
      </c>
    </row>
    <row r="47" spans="1:56" x14ac:dyDescent="0.2">
      <c r="A47" s="2" t="s">
        <v>547</v>
      </c>
    </row>
    <row r="48" spans="1:56" x14ac:dyDescent="0.2">
      <c r="A48" t="s">
        <v>541</v>
      </c>
      <c r="C48" t="s">
        <v>536</v>
      </c>
      <c r="F48" s="585">
        <f>ROUND(F27/F5*F6,0)</f>
        <v>8257</v>
      </c>
      <c r="G48" s="585">
        <f t="shared" ref="G48:J48" si="132">ROUND(G27/G5*G6,0)</f>
        <v>8656</v>
      </c>
      <c r="H48" s="585">
        <f t="shared" si="132"/>
        <v>9072</v>
      </c>
      <c r="I48" s="585">
        <f t="shared" si="132"/>
        <v>9509</v>
      </c>
      <c r="J48" s="585">
        <f t="shared" si="132"/>
        <v>9965</v>
      </c>
      <c r="K48" s="585">
        <f t="shared" ref="K48:AM48" si="133">ROUND(K27/K5*K6,0)</f>
        <v>10443</v>
      </c>
      <c r="L48" s="585">
        <f t="shared" si="133"/>
        <v>10944</v>
      </c>
      <c r="M48" s="585">
        <f t="shared" si="133"/>
        <v>11467</v>
      </c>
      <c r="N48" s="585">
        <f t="shared" si="133"/>
        <v>12015</v>
      </c>
      <c r="O48" s="585">
        <f t="shared" si="133"/>
        <v>12585</v>
      </c>
      <c r="P48" s="585">
        <f t="shared" si="133"/>
        <v>13112</v>
      </c>
      <c r="Q48" s="585">
        <f t="shared" si="133"/>
        <v>13588</v>
      </c>
      <c r="R48" s="585">
        <f t="shared" si="133"/>
        <v>14074</v>
      </c>
      <c r="S48" s="585">
        <f t="shared" si="133"/>
        <v>14573</v>
      </c>
      <c r="T48" s="585">
        <f t="shared" si="133"/>
        <v>15084</v>
      </c>
      <c r="U48" s="585">
        <f t="shared" si="133"/>
        <v>15608</v>
      </c>
      <c r="V48" s="585">
        <f t="shared" si="133"/>
        <v>16145</v>
      </c>
      <c r="W48" s="585">
        <f t="shared" si="133"/>
        <v>16695</v>
      </c>
      <c r="X48" s="585">
        <f t="shared" si="133"/>
        <v>17258</v>
      </c>
      <c r="Y48" s="585">
        <f t="shared" si="133"/>
        <v>17834</v>
      </c>
      <c r="Z48" s="585">
        <f t="shared" si="133"/>
        <v>18422</v>
      </c>
      <c r="AA48" s="585">
        <f t="shared" si="133"/>
        <v>19024</v>
      </c>
      <c r="AB48" s="585">
        <f t="shared" si="133"/>
        <v>19637</v>
      </c>
      <c r="AC48" s="585">
        <f t="shared" si="133"/>
        <v>20263</v>
      </c>
      <c r="AD48" s="585">
        <f t="shared" si="133"/>
        <v>20901</v>
      </c>
      <c r="AE48" s="585">
        <f t="shared" si="133"/>
        <v>21550</v>
      </c>
      <c r="AF48" s="585">
        <f t="shared" si="133"/>
        <v>22211</v>
      </c>
      <c r="AG48" s="585">
        <f t="shared" si="133"/>
        <v>22883</v>
      </c>
      <c r="AH48" s="585">
        <f t="shared" si="133"/>
        <v>23565</v>
      </c>
      <c r="AI48" s="585">
        <f t="shared" si="133"/>
        <v>24257</v>
      </c>
      <c r="AJ48" s="585">
        <f t="shared" si="133"/>
        <v>24958</v>
      </c>
      <c r="AK48" s="585">
        <f t="shared" si="133"/>
        <v>25668</v>
      </c>
      <c r="AL48" s="585">
        <f t="shared" si="133"/>
        <v>26385</v>
      </c>
      <c r="AM48" s="585">
        <f t="shared" si="133"/>
        <v>27109</v>
      </c>
      <c r="AN48" s="585">
        <f t="shared" ref="AN48:BD48" si="134">ROUND(AN27/AN5*AN6,0)</f>
        <v>27838</v>
      </c>
      <c r="AO48" s="585">
        <f t="shared" si="134"/>
        <v>28572</v>
      </c>
      <c r="AP48" s="585">
        <f t="shared" si="134"/>
        <v>29310</v>
      </c>
      <c r="AQ48" s="585">
        <f t="shared" si="134"/>
        <v>30050</v>
      </c>
      <c r="AR48" s="585">
        <f t="shared" si="134"/>
        <v>30790</v>
      </c>
      <c r="AS48" s="585">
        <f t="shared" si="134"/>
        <v>31529</v>
      </c>
      <c r="AT48" s="585">
        <f t="shared" si="134"/>
        <v>32265</v>
      </c>
      <c r="AU48" s="585">
        <f t="shared" si="134"/>
        <v>32996</v>
      </c>
      <c r="AV48" s="585">
        <f t="shared" si="134"/>
        <v>33721</v>
      </c>
      <c r="AW48" s="585">
        <f t="shared" si="134"/>
        <v>34437</v>
      </c>
      <c r="AX48" s="585">
        <f t="shared" si="134"/>
        <v>35140</v>
      </c>
      <c r="AY48" s="585">
        <f t="shared" si="134"/>
        <v>35829</v>
      </c>
      <c r="AZ48" s="585">
        <f t="shared" si="134"/>
        <v>36501</v>
      </c>
      <c r="BA48" s="585">
        <f t="shared" si="134"/>
        <v>37152</v>
      </c>
      <c r="BB48" s="585">
        <f t="shared" si="134"/>
        <v>37779</v>
      </c>
      <c r="BC48" s="585">
        <f t="shared" si="134"/>
        <v>38378</v>
      </c>
      <c r="BD48" s="585">
        <f t="shared" si="134"/>
        <v>38946</v>
      </c>
    </row>
    <row r="49" spans="1:56" x14ac:dyDescent="0.2">
      <c r="A49" t="s">
        <v>542</v>
      </c>
      <c r="C49" t="s">
        <v>537</v>
      </c>
      <c r="F49" s="585">
        <f>F27</f>
        <v>10640</v>
      </c>
      <c r="G49" s="585">
        <f t="shared" ref="G49:J49" si="135">G27</f>
        <v>11154</v>
      </c>
      <c r="H49" s="585">
        <f t="shared" si="135"/>
        <v>11691</v>
      </c>
      <c r="I49" s="585">
        <f t="shared" si="135"/>
        <v>12254</v>
      </c>
      <c r="J49" s="585">
        <f t="shared" si="135"/>
        <v>12842</v>
      </c>
      <c r="K49" s="585">
        <f t="shared" ref="K49:AM49" si="136">K27</f>
        <v>13458</v>
      </c>
      <c r="L49" s="585">
        <f t="shared" si="136"/>
        <v>14103</v>
      </c>
      <c r="M49" s="585">
        <f t="shared" si="136"/>
        <v>14777</v>
      </c>
      <c r="N49" s="585">
        <f t="shared" si="136"/>
        <v>15483</v>
      </c>
      <c r="O49" s="585">
        <f t="shared" si="136"/>
        <v>16218</v>
      </c>
      <c r="P49" s="585">
        <f t="shared" si="136"/>
        <v>16897</v>
      </c>
      <c r="Q49" s="585">
        <f t="shared" si="136"/>
        <v>17510</v>
      </c>
      <c r="R49" s="585">
        <f t="shared" si="136"/>
        <v>18137</v>
      </c>
      <c r="S49" s="585">
        <f t="shared" si="136"/>
        <v>18779</v>
      </c>
      <c r="T49" s="585">
        <f t="shared" si="136"/>
        <v>19438</v>
      </c>
      <c r="U49" s="585">
        <f t="shared" si="136"/>
        <v>20113</v>
      </c>
      <c r="V49" s="585">
        <f t="shared" si="136"/>
        <v>20806</v>
      </c>
      <c r="W49" s="585">
        <f t="shared" si="136"/>
        <v>21514</v>
      </c>
      <c r="X49" s="585">
        <f t="shared" si="136"/>
        <v>22240</v>
      </c>
      <c r="Y49" s="585">
        <f t="shared" si="136"/>
        <v>22982</v>
      </c>
      <c r="Z49" s="585">
        <f t="shared" si="136"/>
        <v>23740</v>
      </c>
      <c r="AA49" s="585">
        <f t="shared" si="136"/>
        <v>24515</v>
      </c>
      <c r="AB49" s="585">
        <f t="shared" si="136"/>
        <v>25306</v>
      </c>
      <c r="AC49" s="585">
        <f t="shared" si="136"/>
        <v>26112</v>
      </c>
      <c r="AD49" s="585">
        <f t="shared" si="136"/>
        <v>26934</v>
      </c>
      <c r="AE49" s="585">
        <f t="shared" si="136"/>
        <v>27771</v>
      </c>
      <c r="AF49" s="585">
        <f t="shared" si="136"/>
        <v>28623</v>
      </c>
      <c r="AG49" s="585">
        <f t="shared" si="136"/>
        <v>29488</v>
      </c>
      <c r="AH49" s="585">
        <f t="shared" si="136"/>
        <v>30367</v>
      </c>
      <c r="AI49" s="585">
        <f t="shared" si="136"/>
        <v>31259</v>
      </c>
      <c r="AJ49" s="585">
        <f t="shared" si="136"/>
        <v>32162</v>
      </c>
      <c r="AK49" s="585">
        <f t="shared" si="136"/>
        <v>33077</v>
      </c>
      <c r="AL49" s="585">
        <f t="shared" si="136"/>
        <v>34001</v>
      </c>
      <c r="AM49" s="585">
        <f t="shared" si="136"/>
        <v>34934</v>
      </c>
      <c r="AN49" s="585">
        <f t="shared" ref="AN49:BD49" si="137">AN27</f>
        <v>35874</v>
      </c>
      <c r="AO49" s="585">
        <f t="shared" si="137"/>
        <v>36820</v>
      </c>
      <c r="AP49" s="585">
        <f t="shared" si="137"/>
        <v>37771</v>
      </c>
      <c r="AQ49" s="585">
        <f t="shared" si="137"/>
        <v>38724</v>
      </c>
      <c r="AR49" s="585">
        <f t="shared" si="137"/>
        <v>39678</v>
      </c>
      <c r="AS49" s="585">
        <f t="shared" si="137"/>
        <v>40630</v>
      </c>
      <c r="AT49" s="585">
        <f t="shared" si="137"/>
        <v>41579</v>
      </c>
      <c r="AU49" s="585">
        <f t="shared" si="137"/>
        <v>42521</v>
      </c>
      <c r="AV49" s="585">
        <f t="shared" si="137"/>
        <v>43455</v>
      </c>
      <c r="AW49" s="585">
        <f t="shared" si="137"/>
        <v>44377</v>
      </c>
      <c r="AX49" s="585">
        <f t="shared" si="137"/>
        <v>45283</v>
      </c>
      <c r="AY49" s="585">
        <f t="shared" si="137"/>
        <v>46171</v>
      </c>
      <c r="AZ49" s="585">
        <f t="shared" si="137"/>
        <v>47037</v>
      </c>
      <c r="BA49" s="585">
        <f t="shared" si="137"/>
        <v>47876</v>
      </c>
      <c r="BB49" s="585">
        <f t="shared" si="137"/>
        <v>48684</v>
      </c>
      <c r="BC49" s="585">
        <f t="shared" si="137"/>
        <v>49456</v>
      </c>
      <c r="BD49" s="585">
        <f t="shared" si="137"/>
        <v>50188</v>
      </c>
    </row>
    <row r="50" spans="1:56" x14ac:dyDescent="0.2">
      <c r="A50" t="s">
        <v>543</v>
      </c>
      <c r="C50" t="s">
        <v>538</v>
      </c>
      <c r="F50" s="585">
        <f>F49-F48</f>
        <v>2383</v>
      </c>
      <c r="G50" s="585">
        <f t="shared" ref="G50:J50" si="138">G49-G48</f>
        <v>2498</v>
      </c>
      <c r="H50" s="585">
        <f t="shared" si="138"/>
        <v>2619</v>
      </c>
      <c r="I50" s="585">
        <f t="shared" si="138"/>
        <v>2745</v>
      </c>
      <c r="J50" s="585">
        <f t="shared" si="138"/>
        <v>2877</v>
      </c>
      <c r="K50" s="585">
        <f t="shared" ref="K50" si="139">K49-K48</f>
        <v>3015</v>
      </c>
      <c r="L50" s="585">
        <f t="shared" ref="L50" si="140">L49-L48</f>
        <v>3159</v>
      </c>
      <c r="M50" s="585">
        <f t="shared" ref="M50:N50" si="141">M49-M48</f>
        <v>3310</v>
      </c>
      <c r="N50" s="585">
        <f t="shared" si="141"/>
        <v>3468</v>
      </c>
      <c r="O50" s="585">
        <f t="shared" ref="O50" si="142">O49-O48</f>
        <v>3633</v>
      </c>
      <c r="P50" s="585">
        <f t="shared" ref="P50" si="143">P49-P48</f>
        <v>3785</v>
      </c>
      <c r="Q50" s="585">
        <f t="shared" ref="Q50:R50" si="144">Q49-Q48</f>
        <v>3922</v>
      </c>
      <c r="R50" s="585">
        <f t="shared" si="144"/>
        <v>4063</v>
      </c>
      <c r="S50" s="585">
        <f t="shared" ref="S50" si="145">S49-S48</f>
        <v>4206</v>
      </c>
      <c r="T50" s="585">
        <f t="shared" ref="T50" si="146">T49-T48</f>
        <v>4354</v>
      </c>
      <c r="U50" s="585">
        <f t="shared" ref="U50:V50" si="147">U49-U48</f>
        <v>4505</v>
      </c>
      <c r="V50" s="585">
        <f t="shared" si="147"/>
        <v>4661</v>
      </c>
      <c r="W50" s="585">
        <f t="shared" ref="W50" si="148">W49-W48</f>
        <v>4819</v>
      </c>
      <c r="X50" s="585">
        <f t="shared" ref="X50" si="149">X49-X48</f>
        <v>4982</v>
      </c>
      <c r="Y50" s="585">
        <f t="shared" ref="Y50:Z50" si="150">Y49-Y48</f>
        <v>5148</v>
      </c>
      <c r="Z50" s="585">
        <f t="shared" si="150"/>
        <v>5318</v>
      </c>
      <c r="AA50" s="585">
        <f t="shared" ref="AA50" si="151">AA49-AA48</f>
        <v>5491</v>
      </c>
      <c r="AB50" s="585">
        <f t="shared" ref="AB50" si="152">AB49-AB48</f>
        <v>5669</v>
      </c>
      <c r="AC50" s="585">
        <f t="shared" ref="AC50:AD50" si="153">AC49-AC48</f>
        <v>5849</v>
      </c>
      <c r="AD50" s="585">
        <f t="shared" si="153"/>
        <v>6033</v>
      </c>
      <c r="AE50" s="585">
        <f t="shared" ref="AE50" si="154">AE49-AE48</f>
        <v>6221</v>
      </c>
      <c r="AF50" s="585">
        <f t="shared" ref="AF50" si="155">AF49-AF48</f>
        <v>6412</v>
      </c>
      <c r="AG50" s="585">
        <f t="shared" ref="AG50:AH50" si="156">AG49-AG48</f>
        <v>6605</v>
      </c>
      <c r="AH50" s="585">
        <f t="shared" si="156"/>
        <v>6802</v>
      </c>
      <c r="AI50" s="585">
        <f t="shared" ref="AI50" si="157">AI49-AI48</f>
        <v>7002</v>
      </c>
      <c r="AJ50" s="585">
        <f t="shared" ref="AJ50" si="158">AJ49-AJ48</f>
        <v>7204</v>
      </c>
      <c r="AK50" s="585">
        <f t="shared" ref="AK50:AL50" si="159">AK49-AK48</f>
        <v>7409</v>
      </c>
      <c r="AL50" s="585">
        <f t="shared" si="159"/>
        <v>7616</v>
      </c>
      <c r="AM50" s="585">
        <f t="shared" ref="AM50" si="160">AM49-AM48</f>
        <v>7825</v>
      </c>
      <c r="AN50" s="585">
        <f t="shared" ref="AN50" si="161">AN49-AN48</f>
        <v>8036</v>
      </c>
      <c r="AO50" s="585">
        <f t="shared" ref="AO50" si="162">AO49-AO48</f>
        <v>8248</v>
      </c>
      <c r="AP50" s="585">
        <f t="shared" ref="AP50" si="163">AP49-AP48</f>
        <v>8461</v>
      </c>
      <c r="AQ50" s="585">
        <f t="shared" ref="AQ50" si="164">AQ49-AQ48</f>
        <v>8674</v>
      </c>
      <c r="AR50" s="585">
        <f t="shared" ref="AR50" si="165">AR49-AR48</f>
        <v>8888</v>
      </c>
      <c r="AS50" s="585">
        <f t="shared" ref="AS50" si="166">AS49-AS48</f>
        <v>9101</v>
      </c>
      <c r="AT50" s="585">
        <f t="shared" ref="AT50" si="167">AT49-AT48</f>
        <v>9314</v>
      </c>
      <c r="AU50" s="585">
        <f t="shared" ref="AU50" si="168">AU49-AU48</f>
        <v>9525</v>
      </c>
      <c r="AV50" s="585">
        <f t="shared" ref="AV50" si="169">AV49-AV48</f>
        <v>9734</v>
      </c>
      <c r="AW50" s="585">
        <f t="shared" ref="AW50" si="170">AW49-AW48</f>
        <v>9940</v>
      </c>
      <c r="AX50" s="585">
        <f t="shared" ref="AX50" si="171">AX49-AX48</f>
        <v>10143</v>
      </c>
      <c r="AY50" s="585">
        <f t="shared" ref="AY50" si="172">AY49-AY48</f>
        <v>10342</v>
      </c>
      <c r="AZ50" s="585">
        <f t="shared" ref="AZ50" si="173">AZ49-AZ48</f>
        <v>10536</v>
      </c>
      <c r="BA50" s="585">
        <f t="shared" ref="BA50" si="174">BA49-BA48</f>
        <v>10724</v>
      </c>
      <c r="BB50" s="585">
        <f t="shared" ref="BB50" si="175">BB49-BB48</f>
        <v>10905</v>
      </c>
      <c r="BC50" s="585">
        <f t="shared" ref="BC50" si="176">BC49-BC48</f>
        <v>11078</v>
      </c>
      <c r="BD50" s="585">
        <f t="shared" ref="BD50" si="177">BD49-BD48</f>
        <v>11242</v>
      </c>
    </row>
    <row r="51" spans="1:56" x14ac:dyDescent="0.2">
      <c r="A51" t="s">
        <v>544</v>
      </c>
      <c r="C51" t="s">
        <v>539</v>
      </c>
      <c r="F51" s="585">
        <f>ROUND(F50/3,0)</f>
        <v>794</v>
      </c>
      <c r="G51" s="585">
        <f t="shared" ref="G51:J51" si="178">ROUND(G50/3,0)</f>
        <v>833</v>
      </c>
      <c r="H51" s="585">
        <f t="shared" si="178"/>
        <v>873</v>
      </c>
      <c r="I51" s="585">
        <f t="shared" si="178"/>
        <v>915</v>
      </c>
      <c r="J51" s="585">
        <f t="shared" si="178"/>
        <v>959</v>
      </c>
      <c r="K51" s="585">
        <f t="shared" ref="K51" si="179">ROUND(K50/3,0)</f>
        <v>1005</v>
      </c>
      <c r="L51" s="585">
        <f t="shared" ref="L51" si="180">ROUND(L50/3,0)</f>
        <v>1053</v>
      </c>
      <c r="M51" s="585">
        <f t="shared" ref="M51:N51" si="181">ROUND(M50/3,0)</f>
        <v>1103</v>
      </c>
      <c r="N51" s="585">
        <f t="shared" si="181"/>
        <v>1156</v>
      </c>
      <c r="O51" s="585">
        <f t="shared" ref="O51" si="182">ROUND(O50/3,0)</f>
        <v>1211</v>
      </c>
      <c r="P51" s="585">
        <f t="shared" ref="P51" si="183">ROUND(P50/3,0)</f>
        <v>1262</v>
      </c>
      <c r="Q51" s="585">
        <f t="shared" ref="Q51:R51" si="184">ROUND(Q50/3,0)</f>
        <v>1307</v>
      </c>
      <c r="R51" s="585">
        <f t="shared" si="184"/>
        <v>1354</v>
      </c>
      <c r="S51" s="585">
        <f t="shared" ref="S51" si="185">ROUND(S50/3,0)</f>
        <v>1402</v>
      </c>
      <c r="T51" s="585">
        <f t="shared" ref="T51" si="186">ROUND(T50/3,0)</f>
        <v>1451</v>
      </c>
      <c r="U51" s="585">
        <f t="shared" ref="U51:V51" si="187">ROUND(U50/3,0)</f>
        <v>1502</v>
      </c>
      <c r="V51" s="585">
        <f t="shared" si="187"/>
        <v>1554</v>
      </c>
      <c r="W51" s="585">
        <f t="shared" ref="W51" si="188">ROUND(W50/3,0)</f>
        <v>1606</v>
      </c>
      <c r="X51" s="585">
        <f t="shared" ref="X51" si="189">ROUND(X50/3,0)</f>
        <v>1661</v>
      </c>
      <c r="Y51" s="585">
        <f t="shared" ref="Y51:Z51" si="190">ROUND(Y50/3,0)</f>
        <v>1716</v>
      </c>
      <c r="Z51" s="585">
        <f t="shared" si="190"/>
        <v>1773</v>
      </c>
      <c r="AA51" s="585">
        <f t="shared" ref="AA51" si="191">ROUND(AA50/3,0)</f>
        <v>1830</v>
      </c>
      <c r="AB51" s="585">
        <f t="shared" ref="AB51" si="192">ROUND(AB50/3,0)</f>
        <v>1890</v>
      </c>
      <c r="AC51" s="585">
        <f t="shared" ref="AC51:AD51" si="193">ROUND(AC50/3,0)</f>
        <v>1950</v>
      </c>
      <c r="AD51" s="585">
        <f t="shared" si="193"/>
        <v>2011</v>
      </c>
      <c r="AE51" s="585">
        <f t="shared" ref="AE51" si="194">ROUND(AE50/3,0)</f>
        <v>2074</v>
      </c>
      <c r="AF51" s="585">
        <f t="shared" ref="AF51" si="195">ROUND(AF50/3,0)</f>
        <v>2137</v>
      </c>
      <c r="AG51" s="585">
        <f t="shared" ref="AG51:AH51" si="196">ROUND(AG50/3,0)</f>
        <v>2202</v>
      </c>
      <c r="AH51" s="585">
        <f t="shared" si="196"/>
        <v>2267</v>
      </c>
      <c r="AI51" s="585">
        <f t="shared" ref="AI51" si="197">ROUND(AI50/3,0)</f>
        <v>2334</v>
      </c>
      <c r="AJ51" s="585">
        <f t="shared" ref="AJ51" si="198">ROUND(AJ50/3,0)</f>
        <v>2401</v>
      </c>
      <c r="AK51" s="585">
        <f t="shared" ref="AK51:AL51" si="199">ROUND(AK50/3,0)</f>
        <v>2470</v>
      </c>
      <c r="AL51" s="585">
        <f t="shared" si="199"/>
        <v>2539</v>
      </c>
      <c r="AM51" s="585">
        <f t="shared" ref="AM51" si="200">ROUND(AM50/3,0)</f>
        <v>2608</v>
      </c>
      <c r="AN51" s="585">
        <f t="shared" ref="AN51" si="201">ROUND(AN50/3,0)</f>
        <v>2679</v>
      </c>
      <c r="AO51" s="585">
        <f t="shared" ref="AO51" si="202">ROUND(AO50/3,0)</f>
        <v>2749</v>
      </c>
      <c r="AP51" s="585">
        <f t="shared" ref="AP51" si="203">ROUND(AP50/3,0)</f>
        <v>2820</v>
      </c>
      <c r="AQ51" s="585">
        <f t="shared" ref="AQ51" si="204">ROUND(AQ50/3,0)</f>
        <v>2891</v>
      </c>
      <c r="AR51" s="585">
        <f t="shared" ref="AR51" si="205">ROUND(AR50/3,0)</f>
        <v>2963</v>
      </c>
      <c r="AS51" s="585">
        <f t="shared" ref="AS51" si="206">ROUND(AS50/3,0)</f>
        <v>3034</v>
      </c>
      <c r="AT51" s="585">
        <f t="shared" ref="AT51" si="207">ROUND(AT50/3,0)</f>
        <v>3105</v>
      </c>
      <c r="AU51" s="585">
        <f t="shared" ref="AU51" si="208">ROUND(AU50/3,0)</f>
        <v>3175</v>
      </c>
      <c r="AV51" s="585">
        <f t="shared" ref="AV51" si="209">ROUND(AV50/3,0)</f>
        <v>3245</v>
      </c>
      <c r="AW51" s="585">
        <f t="shared" ref="AW51" si="210">ROUND(AW50/3,0)</f>
        <v>3313</v>
      </c>
      <c r="AX51" s="585">
        <f t="shared" ref="AX51" si="211">ROUND(AX50/3,0)</f>
        <v>3381</v>
      </c>
      <c r="AY51" s="585">
        <f t="shared" ref="AY51" si="212">ROUND(AY50/3,0)</f>
        <v>3447</v>
      </c>
      <c r="AZ51" s="585">
        <f t="shared" ref="AZ51" si="213">ROUND(AZ50/3,0)</f>
        <v>3512</v>
      </c>
      <c r="BA51" s="585">
        <f t="shared" ref="BA51" si="214">ROUND(BA50/3,0)</f>
        <v>3575</v>
      </c>
      <c r="BB51" s="585">
        <f t="shared" ref="BB51" si="215">ROUND(BB50/3,0)</f>
        <v>3635</v>
      </c>
      <c r="BC51" s="585">
        <f t="shared" ref="BC51" si="216">ROUND(BC50/3,0)</f>
        <v>3693</v>
      </c>
      <c r="BD51" s="585">
        <f t="shared" ref="BD51" si="217">ROUND(BD50/3,0)</f>
        <v>3747</v>
      </c>
    </row>
    <row r="52" spans="1:56" x14ac:dyDescent="0.2">
      <c r="A52" t="s">
        <v>546</v>
      </c>
      <c r="C52" t="s">
        <v>540</v>
      </c>
      <c r="F52" s="585"/>
      <c r="G52" s="585">
        <f>G51+F51</f>
        <v>1627</v>
      </c>
      <c r="H52" s="585">
        <f t="shared" ref="H52:AM52" si="218">H51+G51</f>
        <v>1706</v>
      </c>
      <c r="I52" s="585">
        <f t="shared" si="218"/>
        <v>1788</v>
      </c>
      <c r="J52" s="585">
        <f t="shared" si="218"/>
        <v>1874</v>
      </c>
      <c r="K52" s="585">
        <f t="shared" si="218"/>
        <v>1964</v>
      </c>
      <c r="L52" s="585">
        <f t="shared" si="218"/>
        <v>2058</v>
      </c>
      <c r="M52" s="585">
        <f t="shared" si="218"/>
        <v>2156</v>
      </c>
      <c r="N52" s="585">
        <f t="shared" si="218"/>
        <v>2259</v>
      </c>
      <c r="O52" s="585">
        <f t="shared" si="218"/>
        <v>2367</v>
      </c>
      <c r="P52" s="585">
        <f t="shared" si="218"/>
        <v>2473</v>
      </c>
      <c r="Q52" s="585">
        <f t="shared" si="218"/>
        <v>2569</v>
      </c>
      <c r="R52" s="585">
        <f t="shared" si="218"/>
        <v>2661</v>
      </c>
      <c r="S52" s="585">
        <f t="shared" si="218"/>
        <v>2756</v>
      </c>
      <c r="T52" s="585">
        <f t="shared" si="218"/>
        <v>2853</v>
      </c>
      <c r="U52" s="585">
        <f t="shared" si="218"/>
        <v>2953</v>
      </c>
      <c r="V52" s="585">
        <f t="shared" si="218"/>
        <v>3056</v>
      </c>
      <c r="W52" s="585">
        <f t="shared" si="218"/>
        <v>3160</v>
      </c>
      <c r="X52" s="585">
        <f t="shared" si="218"/>
        <v>3267</v>
      </c>
      <c r="Y52" s="585">
        <f t="shared" si="218"/>
        <v>3377</v>
      </c>
      <c r="Z52" s="585">
        <f t="shared" si="218"/>
        <v>3489</v>
      </c>
      <c r="AA52" s="585">
        <f t="shared" si="218"/>
        <v>3603</v>
      </c>
      <c r="AB52" s="585">
        <f t="shared" si="218"/>
        <v>3720</v>
      </c>
      <c r="AC52" s="585">
        <f t="shared" si="218"/>
        <v>3840</v>
      </c>
      <c r="AD52" s="585">
        <f t="shared" si="218"/>
        <v>3961</v>
      </c>
      <c r="AE52" s="585">
        <f t="shared" si="218"/>
        <v>4085</v>
      </c>
      <c r="AF52" s="585">
        <f t="shared" si="218"/>
        <v>4211</v>
      </c>
      <c r="AG52" s="585">
        <f t="shared" si="218"/>
        <v>4339</v>
      </c>
      <c r="AH52" s="585">
        <f t="shared" si="218"/>
        <v>4469</v>
      </c>
      <c r="AI52" s="585">
        <f t="shared" si="218"/>
        <v>4601</v>
      </c>
      <c r="AJ52" s="585">
        <f t="shared" si="218"/>
        <v>4735</v>
      </c>
      <c r="AK52" s="585">
        <f t="shared" si="218"/>
        <v>4871</v>
      </c>
      <c r="AL52" s="585">
        <f t="shared" si="218"/>
        <v>5009</v>
      </c>
      <c r="AM52" s="585">
        <f t="shared" si="218"/>
        <v>5147</v>
      </c>
      <c r="AN52" s="585">
        <f t="shared" ref="AN52" si="219">AN51+AM51</f>
        <v>5287</v>
      </c>
      <c r="AO52" s="585">
        <f t="shared" ref="AO52" si="220">AO51+AN51</f>
        <v>5428</v>
      </c>
      <c r="AP52" s="585">
        <f t="shared" ref="AP52" si="221">AP51+AO51</f>
        <v>5569</v>
      </c>
      <c r="AQ52" s="585">
        <f t="shared" ref="AQ52" si="222">AQ51+AP51</f>
        <v>5711</v>
      </c>
      <c r="AR52" s="585">
        <f t="shared" ref="AR52" si="223">AR51+AQ51</f>
        <v>5854</v>
      </c>
      <c r="AS52" s="585">
        <f t="shared" ref="AS52" si="224">AS51+AR51</f>
        <v>5997</v>
      </c>
      <c r="AT52" s="585">
        <f t="shared" ref="AT52" si="225">AT51+AS51</f>
        <v>6139</v>
      </c>
      <c r="AU52" s="585">
        <f t="shared" ref="AU52" si="226">AU51+AT51</f>
        <v>6280</v>
      </c>
      <c r="AV52" s="585">
        <f t="shared" ref="AV52" si="227">AV51+AU51</f>
        <v>6420</v>
      </c>
      <c r="AW52" s="585">
        <f t="shared" ref="AW52" si="228">AW51+AV51</f>
        <v>6558</v>
      </c>
      <c r="AX52" s="585">
        <f t="shared" ref="AX52" si="229">AX51+AW51</f>
        <v>6694</v>
      </c>
      <c r="AY52" s="585">
        <f t="shared" ref="AY52" si="230">AY51+AX51</f>
        <v>6828</v>
      </c>
      <c r="AZ52" s="585">
        <f t="shared" ref="AZ52" si="231">AZ51+AY51</f>
        <v>6959</v>
      </c>
      <c r="BA52" s="585">
        <f t="shared" ref="BA52" si="232">BA51+AZ51</f>
        <v>7087</v>
      </c>
      <c r="BB52" s="585">
        <f t="shared" ref="BB52" si="233">BB51+BA51</f>
        <v>7210</v>
      </c>
      <c r="BC52" s="585">
        <f t="shared" ref="BC52" si="234">BC51+BB51</f>
        <v>7328</v>
      </c>
      <c r="BD52" s="585">
        <f t="shared" ref="BD52" si="235">BD51+BC51</f>
        <v>7440</v>
      </c>
    </row>
    <row r="53" spans="1:56" x14ac:dyDescent="0.2">
      <c r="F53" s="585"/>
      <c r="G53" s="585"/>
      <c r="H53" s="585"/>
      <c r="I53" s="585"/>
      <c r="J53" s="585"/>
      <c r="K53" s="585"/>
      <c r="L53" s="585"/>
      <c r="M53" s="585"/>
      <c r="N53" s="585"/>
      <c r="O53" s="585"/>
      <c r="P53" s="585"/>
      <c r="Q53" s="585"/>
      <c r="R53" s="585"/>
      <c r="S53" s="585"/>
      <c r="T53" s="585"/>
      <c r="U53" s="585"/>
      <c r="V53" s="585"/>
      <c r="W53" s="585"/>
      <c r="X53" s="585"/>
      <c r="Y53" s="585"/>
      <c r="Z53" s="585"/>
      <c r="AA53" s="585"/>
      <c r="AB53" s="585"/>
      <c r="AC53" s="585"/>
      <c r="AD53" s="585"/>
      <c r="AE53" s="585"/>
      <c r="AF53" s="585"/>
      <c r="AG53" s="585"/>
      <c r="AH53" s="585"/>
      <c r="AI53" s="585"/>
      <c r="AJ53" s="585"/>
      <c r="AK53" s="585"/>
      <c r="AL53" s="585"/>
      <c r="AM53" s="585"/>
      <c r="AN53" s="585"/>
      <c r="AO53" s="585"/>
      <c r="AP53" s="585"/>
      <c r="AQ53" s="585"/>
      <c r="AR53" s="585"/>
      <c r="AS53" s="585"/>
      <c r="AT53" s="585"/>
      <c r="AU53" s="585"/>
      <c r="AV53" s="585"/>
      <c r="AW53" s="585"/>
      <c r="AX53" s="585"/>
      <c r="AY53" s="585"/>
      <c r="AZ53" s="585"/>
      <c r="BA53" s="585"/>
      <c r="BB53" s="585"/>
      <c r="BC53" s="585"/>
      <c r="BD53" s="585"/>
    </row>
    <row r="54" spans="1:56" x14ac:dyDescent="0.2">
      <c r="F54" s="585"/>
      <c r="G54" s="585"/>
      <c r="H54" s="585"/>
      <c r="I54" s="585"/>
      <c r="J54" s="585"/>
      <c r="K54" s="585"/>
      <c r="L54" s="585"/>
      <c r="M54" s="585"/>
      <c r="N54" s="585"/>
      <c r="O54" s="585"/>
      <c r="P54" s="585"/>
      <c r="Q54" s="585"/>
      <c r="R54" s="585"/>
      <c r="S54" s="585"/>
      <c r="T54" s="585"/>
      <c r="U54" s="585"/>
      <c r="V54" s="585"/>
      <c r="W54" s="585"/>
      <c r="X54" s="585"/>
      <c r="Y54" s="585"/>
      <c r="Z54" s="585"/>
      <c r="AA54" s="585"/>
      <c r="AB54" s="585"/>
      <c r="AC54" s="585"/>
      <c r="AD54" s="585"/>
      <c r="AE54" s="585"/>
      <c r="AF54" s="585"/>
      <c r="AG54" s="585"/>
      <c r="AH54" s="585"/>
      <c r="AI54" s="585"/>
      <c r="AJ54" s="585"/>
      <c r="AK54" s="585"/>
      <c r="AL54" s="585"/>
      <c r="AM54" s="585"/>
      <c r="AN54" s="585"/>
      <c r="AO54" s="585"/>
      <c r="AP54" s="585"/>
      <c r="AQ54" s="585"/>
      <c r="AR54" s="585"/>
      <c r="AS54" s="585"/>
      <c r="AT54" s="585"/>
      <c r="AU54" s="585"/>
      <c r="AV54" s="585"/>
      <c r="AW54" s="585"/>
      <c r="AX54" s="585"/>
      <c r="AY54" s="585"/>
      <c r="AZ54" s="585"/>
      <c r="BA54" s="585"/>
      <c r="BB54" s="585"/>
      <c r="BC54" s="585"/>
      <c r="BD54" s="585"/>
    </row>
    <row r="55" spans="1:56" s="506" customFormat="1" x14ac:dyDescent="0.2">
      <c r="A55" s="506" t="s">
        <v>560</v>
      </c>
      <c r="C55" s="506" t="s">
        <v>557</v>
      </c>
      <c r="F55" s="586"/>
      <c r="G55" s="586">
        <f>ROUND(MAX(0,G38-25%*G30),0)</f>
        <v>0</v>
      </c>
      <c r="H55" s="586">
        <f t="shared" ref="H55:AM55" si="236">ROUND(MAX(0,H38-25%*H30),0)</f>
        <v>0</v>
      </c>
      <c r="I55" s="586">
        <f t="shared" si="236"/>
        <v>0</v>
      </c>
      <c r="J55" s="586">
        <f t="shared" si="236"/>
        <v>0</v>
      </c>
      <c r="K55" s="586">
        <f t="shared" si="236"/>
        <v>0</v>
      </c>
      <c r="L55" s="586">
        <f t="shared" si="236"/>
        <v>0</v>
      </c>
      <c r="M55" s="586">
        <f t="shared" si="236"/>
        <v>0</v>
      </c>
      <c r="N55" s="586">
        <f t="shared" si="236"/>
        <v>111</v>
      </c>
      <c r="O55" s="586">
        <f t="shared" si="236"/>
        <v>2915</v>
      </c>
      <c r="P55" s="586">
        <f t="shared" si="236"/>
        <v>3140</v>
      </c>
      <c r="Q55" s="586">
        <f t="shared" si="236"/>
        <v>3299</v>
      </c>
      <c r="R55" s="586">
        <f t="shared" si="236"/>
        <v>3452</v>
      </c>
      <c r="S55" s="586">
        <f t="shared" si="236"/>
        <v>3601</v>
      </c>
      <c r="T55" s="586">
        <f t="shared" si="236"/>
        <v>3758</v>
      </c>
      <c r="U55" s="586">
        <f t="shared" si="236"/>
        <v>3919</v>
      </c>
      <c r="V55" s="586">
        <f t="shared" si="236"/>
        <v>4085</v>
      </c>
      <c r="W55" s="586">
        <f t="shared" si="236"/>
        <v>4258</v>
      </c>
      <c r="X55" s="586">
        <f t="shared" si="236"/>
        <v>4435</v>
      </c>
      <c r="Y55" s="586">
        <f t="shared" si="236"/>
        <v>4616</v>
      </c>
      <c r="Z55" s="586">
        <f t="shared" si="236"/>
        <v>4803</v>
      </c>
      <c r="AA55" s="586">
        <f t="shared" si="236"/>
        <v>4996</v>
      </c>
      <c r="AB55" s="586">
        <f>ROUND(MAX(0,AB38-25%*AB30),0)</f>
        <v>5195</v>
      </c>
      <c r="AC55" s="586">
        <f t="shared" si="236"/>
        <v>5400</v>
      </c>
      <c r="AD55" s="586">
        <f t="shared" si="236"/>
        <v>5609</v>
      </c>
      <c r="AE55" s="586">
        <f t="shared" si="236"/>
        <v>5825</v>
      </c>
      <c r="AF55" s="586">
        <f t="shared" si="236"/>
        <v>6044</v>
      </c>
      <c r="AG55" s="586">
        <f t="shared" si="236"/>
        <v>6272</v>
      </c>
      <c r="AH55" s="586">
        <f t="shared" si="236"/>
        <v>6505</v>
      </c>
      <c r="AI55" s="586">
        <f t="shared" si="236"/>
        <v>6741</v>
      </c>
      <c r="AJ55" s="586">
        <f t="shared" si="236"/>
        <v>6985</v>
      </c>
      <c r="AK55" s="586">
        <f t="shared" si="236"/>
        <v>7235</v>
      </c>
      <c r="AL55" s="586">
        <f t="shared" si="236"/>
        <v>7488</v>
      </c>
      <c r="AM55" s="586">
        <f t="shared" si="236"/>
        <v>7749</v>
      </c>
      <c r="AN55" s="586">
        <f t="shared" ref="AN55:BD55" si="237">ROUND(MAX(0,AN38-25%*AN30),0)</f>
        <v>8012</v>
      </c>
      <c r="AO55" s="586">
        <f t="shared" si="237"/>
        <v>8282</v>
      </c>
      <c r="AP55" s="586">
        <f t="shared" si="237"/>
        <v>8559</v>
      </c>
      <c r="AQ55" s="586">
        <f t="shared" si="237"/>
        <v>8840</v>
      </c>
      <c r="AR55" s="586">
        <f t="shared" si="237"/>
        <v>9123</v>
      </c>
      <c r="AS55" s="586">
        <f t="shared" si="237"/>
        <v>9412</v>
      </c>
      <c r="AT55" s="586">
        <f t="shared" si="237"/>
        <v>9705</v>
      </c>
      <c r="AU55" s="586">
        <f t="shared" si="237"/>
        <v>10004</v>
      </c>
      <c r="AV55" s="586">
        <f t="shared" si="237"/>
        <v>10305</v>
      </c>
      <c r="AW55" s="586">
        <f t="shared" si="237"/>
        <v>10610</v>
      </c>
      <c r="AX55" s="586">
        <f t="shared" si="237"/>
        <v>10917</v>
      </c>
      <c r="AY55" s="586">
        <f t="shared" si="237"/>
        <v>11224</v>
      </c>
      <c r="AZ55" s="586">
        <f t="shared" si="237"/>
        <v>11534</v>
      </c>
      <c r="BA55" s="586">
        <f t="shared" si="237"/>
        <v>11845</v>
      </c>
      <c r="BB55" s="586">
        <f t="shared" si="237"/>
        <v>12156</v>
      </c>
      <c r="BC55" s="586">
        <f t="shared" si="237"/>
        <v>12466</v>
      </c>
      <c r="BD55" s="586">
        <f t="shared" si="237"/>
        <v>12775</v>
      </c>
    </row>
    <row r="56" spans="1:56" s="506" customFormat="1" x14ac:dyDescent="0.2">
      <c r="A56" s="506" t="s">
        <v>561</v>
      </c>
      <c r="C56" s="506" t="s">
        <v>558</v>
      </c>
      <c r="F56" s="586"/>
      <c r="G56" s="586">
        <f>MIN(50%*G55,H19)</f>
        <v>0</v>
      </c>
      <c r="H56" s="586">
        <f>MIN(50%*H55,I19)</f>
        <v>0</v>
      </c>
      <c r="I56" s="586">
        <f>MIN(50%*I55,J19)</f>
        <v>0</v>
      </c>
      <c r="J56" s="586">
        <f>MIN(50%*J55,K19)</f>
        <v>0</v>
      </c>
      <c r="K56" s="586">
        <f>MIN(50%*K55,L19)</f>
        <v>0</v>
      </c>
      <c r="L56" s="586">
        <f>MIN(50%*L55,M19)</f>
        <v>0</v>
      </c>
      <c r="M56" s="586">
        <f>MIN(50%*M55,N19)</f>
        <v>0</v>
      </c>
      <c r="N56" s="586">
        <f>MIN(50%*N55,O19)</f>
        <v>55.5</v>
      </c>
      <c r="O56" s="586">
        <f>MIN(50%*O55,P19)</f>
        <v>1457.5</v>
      </c>
      <c r="P56" s="586">
        <f>MIN(50%*P55,Q19)</f>
        <v>1570</v>
      </c>
      <c r="Q56" s="586">
        <f>MIN(50%*Q55,R19)</f>
        <v>1649.5</v>
      </c>
      <c r="R56" s="586">
        <f>MIN(50%*R55,S19)</f>
        <v>1726</v>
      </c>
      <c r="S56" s="586">
        <f>MIN(50%*S55,T19)</f>
        <v>1800.5</v>
      </c>
      <c r="T56" s="586">
        <f>MIN(50%*T55,U19)</f>
        <v>1879</v>
      </c>
      <c r="U56" s="586">
        <f>MIN(50%*U55,V19)</f>
        <v>1959.5</v>
      </c>
      <c r="V56" s="586">
        <f>MIN(50%*V55,W19)</f>
        <v>2042.5</v>
      </c>
      <c r="W56" s="586">
        <f>MIN(50%*W55,X19)</f>
        <v>2129</v>
      </c>
      <c r="X56" s="586">
        <f>MIN(50%*X55,Y19)</f>
        <v>2217.5</v>
      </c>
      <c r="Y56" s="586">
        <f>MIN(50%*Y55,Z19)</f>
        <v>2308</v>
      </c>
      <c r="Z56" s="586">
        <f>MIN(50%*Z55,AA19)</f>
        <v>2401.5</v>
      </c>
      <c r="AA56" s="586">
        <f>MIN(50%*AA55,AB19)</f>
        <v>2498</v>
      </c>
      <c r="AB56" s="586">
        <f>MIN(50%*AB55,AC19)</f>
        <v>2597.5</v>
      </c>
      <c r="AC56" s="586">
        <f>MIN(50%*AC55,AD19)</f>
        <v>2700</v>
      </c>
      <c r="AD56" s="586">
        <f>MIN(50%*AD55,AE19)</f>
        <v>2804.5</v>
      </c>
      <c r="AE56" s="586">
        <f>MIN(50%*AE55,AF19)</f>
        <v>2912.5</v>
      </c>
      <c r="AF56" s="586">
        <f>MIN(50%*AF55,AG19)</f>
        <v>3022</v>
      </c>
      <c r="AG56" s="586">
        <f>MIN(50%*AG55,AH19)</f>
        <v>3136</v>
      </c>
      <c r="AH56" s="586">
        <f>MIN(50%*AH55,AI19)</f>
        <v>3252.5</v>
      </c>
      <c r="AI56" s="586">
        <f>MIN(50%*AI55,AJ19)</f>
        <v>3370.5</v>
      </c>
      <c r="AJ56" s="586">
        <f>MIN(50%*AJ55,AK19)</f>
        <v>3492.5</v>
      </c>
      <c r="AK56" s="586">
        <f>MIN(50%*AK55,AL19)</f>
        <v>3617.5</v>
      </c>
      <c r="AL56" s="586">
        <f>MIN(50%*AL55,AM19)</f>
        <v>3744</v>
      </c>
      <c r="AM56" s="586">
        <f>MIN(50%*AM55,AN19)</f>
        <v>3874.5</v>
      </c>
      <c r="AN56" s="586">
        <f t="shared" ref="AN56:BD56" si="238">MIN(50%*AN55,AO19)</f>
        <v>4006</v>
      </c>
      <c r="AO56" s="586">
        <f t="shared" si="238"/>
        <v>4141</v>
      </c>
      <c r="AP56" s="586">
        <f t="shared" si="238"/>
        <v>4279.5</v>
      </c>
      <c r="AQ56" s="586">
        <f t="shared" si="238"/>
        <v>4420</v>
      </c>
      <c r="AR56" s="586">
        <f t="shared" si="238"/>
        <v>4561.5</v>
      </c>
      <c r="AS56" s="586">
        <f t="shared" si="238"/>
        <v>4706</v>
      </c>
      <c r="AT56" s="586">
        <f t="shared" si="238"/>
        <v>4852.5</v>
      </c>
      <c r="AU56" s="586">
        <f t="shared" si="238"/>
        <v>5002</v>
      </c>
      <c r="AV56" s="586">
        <f t="shared" si="238"/>
        <v>5152.5</v>
      </c>
      <c r="AW56" s="586">
        <f t="shared" si="238"/>
        <v>5305</v>
      </c>
      <c r="AX56" s="586">
        <f t="shared" si="238"/>
        <v>5458.5</v>
      </c>
      <c r="AY56" s="586">
        <f t="shared" si="238"/>
        <v>5612</v>
      </c>
      <c r="AZ56" s="586">
        <f t="shared" si="238"/>
        <v>5767</v>
      </c>
      <c r="BA56" s="586">
        <f t="shared" si="238"/>
        <v>5922.5</v>
      </c>
      <c r="BB56" s="586">
        <f t="shared" si="238"/>
        <v>6078</v>
      </c>
      <c r="BC56" s="586">
        <f t="shared" si="238"/>
        <v>6233</v>
      </c>
      <c r="BD56" s="586">
        <f t="shared" si="238"/>
        <v>6387.5</v>
      </c>
    </row>
    <row r="57" spans="1:56" x14ac:dyDescent="0.2">
      <c r="A57" s="506" t="s">
        <v>552</v>
      </c>
    </row>
    <row r="59" spans="1:56" x14ac:dyDescent="0.2">
      <c r="A59" s="506" t="s">
        <v>556</v>
      </c>
      <c r="C59" t="s">
        <v>559</v>
      </c>
      <c r="G59" s="583">
        <f>G20/G19</f>
        <v>0</v>
      </c>
      <c r="H59" s="583">
        <f t="shared" ref="H59:AM59" si="239">H20/H19</f>
        <v>0</v>
      </c>
      <c r="I59" s="583">
        <f t="shared" si="239"/>
        <v>0</v>
      </c>
      <c r="J59" s="583">
        <f t="shared" si="239"/>
        <v>0</v>
      </c>
      <c r="K59" s="583">
        <f t="shared" si="239"/>
        <v>0</v>
      </c>
      <c r="L59" s="583">
        <f t="shared" si="239"/>
        <v>0</v>
      </c>
      <c r="M59" s="583">
        <f t="shared" si="239"/>
        <v>0</v>
      </c>
      <c r="N59" s="583">
        <f t="shared" si="239"/>
        <v>0</v>
      </c>
      <c r="O59" s="583">
        <f t="shared" si="239"/>
        <v>-2.4514134275618375E-2</v>
      </c>
      <c r="P59" s="583">
        <f t="shared" si="239"/>
        <v>-0.625</v>
      </c>
      <c r="Q59" s="583">
        <f t="shared" si="239"/>
        <v>-0.65362198168193175</v>
      </c>
      <c r="R59" s="583">
        <f>R20/R19</f>
        <v>-0.66673403395311237</v>
      </c>
      <c r="S59" s="583">
        <f t="shared" si="239"/>
        <v>-0.67739403453689173</v>
      </c>
      <c r="T59" s="583">
        <f t="shared" si="239"/>
        <v>-0.68616615853658536</v>
      </c>
      <c r="U59" s="583">
        <f t="shared" si="239"/>
        <v>-0.69515353311135775</v>
      </c>
      <c r="V59" s="583">
        <f t="shared" si="239"/>
        <v>-0.70384339080459768</v>
      </c>
      <c r="W59" s="583">
        <f t="shared" si="239"/>
        <v>-0.7121687587168759</v>
      </c>
      <c r="X59" s="583">
        <f t="shared" si="239"/>
        <v>-0.72071767095463779</v>
      </c>
      <c r="Y59" s="583">
        <f t="shared" si="239"/>
        <v>-0.72872165626026952</v>
      </c>
      <c r="Z59" s="583">
        <f t="shared" si="239"/>
        <v>-0.73643905552010214</v>
      </c>
      <c r="AA59" s="583">
        <f t="shared" si="239"/>
        <v>-0.7439591078066915</v>
      </c>
      <c r="AB59" s="583">
        <f t="shared" si="239"/>
        <v>-0.75127819548872177</v>
      </c>
      <c r="AC59" s="583">
        <f t="shared" si="239"/>
        <v>-0.7583941605839416</v>
      </c>
      <c r="AD59" s="583">
        <f t="shared" si="239"/>
        <v>-0.76530612244897955</v>
      </c>
      <c r="AE59" s="583">
        <f t="shared" si="239"/>
        <v>-0.77173913043478259</v>
      </c>
      <c r="AF59" s="583">
        <f t="shared" si="239"/>
        <v>-0.77811915575741386</v>
      </c>
      <c r="AG59" s="583">
        <f t="shared" si="239"/>
        <v>-0.78391699092088196</v>
      </c>
      <c r="AH59" s="583">
        <f t="shared" si="239"/>
        <v>-0.78972550994711654</v>
      </c>
      <c r="AI59" s="583">
        <f t="shared" si="239"/>
        <v>-0.79523227383863082</v>
      </c>
      <c r="AJ59" s="583">
        <f t="shared" si="239"/>
        <v>-0.8000237360550676</v>
      </c>
      <c r="AK59" s="583">
        <f t="shared" si="239"/>
        <v>-0.80490896519935473</v>
      </c>
      <c r="AL59" s="583">
        <f t="shared" si="239"/>
        <v>-0.80946520474379058</v>
      </c>
      <c r="AM59" s="583">
        <f t="shared" si="239"/>
        <v>-0.81338257658049096</v>
      </c>
      <c r="AN59" s="583">
        <f t="shared" ref="AN59:BD59" si="240">AN20/AN19</f>
        <v>-0.81723265133937983</v>
      </c>
      <c r="AO59" s="583">
        <f t="shared" si="240"/>
        <v>-0.82039729674380502</v>
      </c>
      <c r="AP59" s="583">
        <f t="shared" si="240"/>
        <v>-0.82342413998806918</v>
      </c>
      <c r="AQ59" s="583">
        <f t="shared" si="240"/>
        <v>-0.82615830115830113</v>
      </c>
      <c r="AR59" s="583">
        <f t="shared" si="240"/>
        <v>-0.82849109653233366</v>
      </c>
      <c r="AS59" s="583">
        <f t="shared" si="240"/>
        <v>-0.83011828935395815</v>
      </c>
      <c r="AT59" s="583">
        <f t="shared" si="240"/>
        <v>-0.83144876325088335</v>
      </c>
      <c r="AU59" s="583">
        <f t="shared" si="240"/>
        <v>-0.83233276157804459</v>
      </c>
      <c r="AV59" s="583">
        <f t="shared" si="240"/>
        <v>-0.83297252289758539</v>
      </c>
      <c r="AW59" s="583">
        <f t="shared" si="240"/>
        <v>-0.83306386418755052</v>
      </c>
      <c r="AX59" s="583">
        <f t="shared" si="240"/>
        <v>-0.83267932820593316</v>
      </c>
      <c r="AY59" s="583">
        <f t="shared" si="240"/>
        <v>-0.8318348064614447</v>
      </c>
      <c r="AZ59" s="583">
        <f t="shared" si="240"/>
        <v>-0.83030034028702471</v>
      </c>
      <c r="BA59" s="583">
        <f t="shared" si="240"/>
        <v>-0.82835392128698648</v>
      </c>
      <c r="BB59" s="583">
        <f t="shared" si="240"/>
        <v>-0.82589596987867797</v>
      </c>
      <c r="BC59" s="583">
        <f t="shared" si="240"/>
        <v>-0.82290820471161652</v>
      </c>
      <c r="BD59" s="583">
        <f t="shared" si="240"/>
        <v>-0.81926919032597267</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2"/>
  <sheetViews>
    <sheetView workbookViewId="0">
      <pane xSplit="1" ySplit="5" topLeftCell="M6" activePane="bottomRight" state="frozen"/>
      <selection activeCell="A41" sqref="A41"/>
      <selection pane="topRight" activeCell="A41" sqref="A41"/>
      <selection pane="bottomLeft" activeCell="A41" sqref="A41"/>
      <selection pane="bottomRight" activeCell="U17" sqref="U17"/>
    </sheetView>
  </sheetViews>
  <sheetFormatPr baseColWidth="10" defaultColWidth="9.140625" defaultRowHeight="12.75" x14ac:dyDescent="0.2"/>
  <cols>
    <col min="1" max="1" width="29.42578125" customWidth="1"/>
    <col min="2" max="2" width="14.85546875" customWidth="1"/>
    <col min="5" max="5" width="9.85546875" bestFit="1" customWidth="1"/>
  </cols>
  <sheetData>
    <row r="1" spans="1:19" ht="15.75" x14ac:dyDescent="0.25">
      <c r="A1" s="18" t="s">
        <v>67</v>
      </c>
    </row>
    <row r="2" spans="1:19" x14ac:dyDescent="0.2">
      <c r="A2" s="2" t="s">
        <v>152</v>
      </c>
    </row>
    <row r="3" spans="1:19" x14ac:dyDescent="0.2">
      <c r="A3" s="2" t="s">
        <v>153</v>
      </c>
    </row>
    <row r="5" spans="1:19" s="12" customFormat="1" ht="13.5" thickBot="1" x14ac:dyDescent="0.25">
      <c r="A5" s="46" t="s">
        <v>156</v>
      </c>
      <c r="B5" s="47" t="s">
        <v>26</v>
      </c>
      <c r="C5" s="47" t="s">
        <v>193</v>
      </c>
      <c r="D5" s="47" t="s">
        <v>34</v>
      </c>
      <c r="E5" s="47" t="s">
        <v>35</v>
      </c>
      <c r="F5" s="47" t="s">
        <v>36</v>
      </c>
      <c r="G5" s="47" t="s">
        <v>37</v>
      </c>
      <c r="H5" s="47" t="s">
        <v>38</v>
      </c>
      <c r="I5" s="47" t="s">
        <v>39</v>
      </c>
      <c r="J5" s="47" t="s">
        <v>40</v>
      </c>
      <c r="K5" s="47" t="s">
        <v>41</v>
      </c>
      <c r="L5" s="47" t="s">
        <v>42</v>
      </c>
      <c r="M5" s="47" t="s">
        <v>43</v>
      </c>
      <c r="N5" s="47" t="s">
        <v>44</v>
      </c>
      <c r="O5" s="47" t="s">
        <v>45</v>
      </c>
      <c r="P5" s="47" t="s">
        <v>168</v>
      </c>
      <c r="Q5" s="47" t="s">
        <v>169</v>
      </c>
      <c r="R5" s="47" t="s">
        <v>170</v>
      </c>
      <c r="S5" s="47" t="s">
        <v>171</v>
      </c>
    </row>
    <row r="7" spans="1:19" s="3" customFormat="1" x14ac:dyDescent="0.2">
      <c r="A7" s="3" t="s">
        <v>232</v>
      </c>
      <c r="B7" s="3" t="s">
        <v>226</v>
      </c>
      <c r="E7" s="3">
        <f>liability!$E$39</f>
        <v>4875.0575000000008</v>
      </c>
    </row>
    <row r="8" spans="1:19" s="8" customFormat="1" x14ac:dyDescent="0.2">
      <c r="A8" s="8" t="s">
        <v>231</v>
      </c>
      <c r="B8" s="8" t="s">
        <v>31</v>
      </c>
      <c r="E8" s="8">
        <f>ROUND(E7*0.5,0)</f>
        <v>2438</v>
      </c>
    </row>
    <row r="9" spans="1:19" s="3" customFormat="1" x14ac:dyDescent="0.2">
      <c r="A9" s="3" t="s">
        <v>233</v>
      </c>
      <c r="B9" s="3" t="s">
        <v>157</v>
      </c>
      <c r="F9" s="3">
        <f>'Data Input'!$G$40</f>
        <v>14</v>
      </c>
    </row>
    <row r="10" spans="1:19" s="49" customFormat="1" ht="15.75" x14ac:dyDescent="0.25">
      <c r="A10" s="49" t="s">
        <v>234</v>
      </c>
      <c r="B10" s="9" t="s">
        <v>31</v>
      </c>
      <c r="F10" s="49">
        <f>ROUND(E8/F9,0)</f>
        <v>174</v>
      </c>
      <c r="G10" s="49">
        <f>+$F10</f>
        <v>174</v>
      </c>
      <c r="H10" s="49">
        <f t="shared" ref="H10:R10" si="0">+$F10</f>
        <v>174</v>
      </c>
      <c r="I10" s="49">
        <f t="shared" si="0"/>
        <v>174</v>
      </c>
      <c r="J10" s="49">
        <f t="shared" si="0"/>
        <v>174</v>
      </c>
      <c r="K10" s="49">
        <f t="shared" si="0"/>
        <v>174</v>
      </c>
      <c r="L10" s="49">
        <f t="shared" si="0"/>
        <v>174</v>
      </c>
      <c r="M10" s="49">
        <f t="shared" si="0"/>
        <v>174</v>
      </c>
      <c r="N10" s="49">
        <f t="shared" si="0"/>
        <v>174</v>
      </c>
      <c r="O10" s="49">
        <f t="shared" si="0"/>
        <v>174</v>
      </c>
      <c r="P10" s="49">
        <f t="shared" si="0"/>
        <v>174</v>
      </c>
      <c r="Q10" s="49">
        <f t="shared" si="0"/>
        <v>174</v>
      </c>
      <c r="R10" s="49">
        <f t="shared" si="0"/>
        <v>174</v>
      </c>
      <c r="S10" s="49">
        <f>+$F10+2</f>
        <v>176</v>
      </c>
    </row>
    <row r="11" spans="1:19" s="3" customFormat="1" x14ac:dyDescent="0.2">
      <c r="B11" s="9"/>
    </row>
    <row r="12" spans="1:19" s="49" customFormat="1" ht="15.75" x14ac:dyDescent="0.25">
      <c r="A12" s="49" t="s">
        <v>235</v>
      </c>
      <c r="B12" s="9" t="s">
        <v>31</v>
      </c>
      <c r="F12" s="49">
        <f>E8-F10</f>
        <v>2264</v>
      </c>
      <c r="G12" s="49">
        <f>+F12-G10</f>
        <v>2090</v>
      </c>
      <c r="H12" s="49">
        <f t="shared" ref="H12:S12" si="1">+G12-H10</f>
        <v>1916</v>
      </c>
      <c r="I12" s="49">
        <f t="shared" si="1"/>
        <v>1742</v>
      </c>
      <c r="J12" s="49">
        <f t="shared" si="1"/>
        <v>1568</v>
      </c>
      <c r="K12" s="49">
        <f t="shared" si="1"/>
        <v>1394</v>
      </c>
      <c r="L12" s="49">
        <f t="shared" si="1"/>
        <v>1220</v>
      </c>
      <c r="M12" s="49">
        <f t="shared" si="1"/>
        <v>1046</v>
      </c>
      <c r="N12" s="49">
        <f t="shared" si="1"/>
        <v>872</v>
      </c>
      <c r="O12" s="49">
        <f t="shared" si="1"/>
        <v>698</v>
      </c>
      <c r="P12" s="49">
        <f t="shared" si="1"/>
        <v>524</v>
      </c>
      <c r="Q12" s="49">
        <f t="shared" si="1"/>
        <v>350</v>
      </c>
      <c r="R12" s="49">
        <f t="shared" si="1"/>
        <v>176</v>
      </c>
      <c r="S12" s="49">
        <f t="shared" si="1"/>
        <v>0</v>
      </c>
    </row>
    <row r="13" spans="1:19" s="3" customFormat="1" x14ac:dyDescent="0.2"/>
    <row r="14" spans="1:19" s="3" customFormat="1" x14ac:dyDescent="0.2">
      <c r="A14" s="3" t="s">
        <v>356</v>
      </c>
    </row>
    <row r="15" spans="1:19" s="3" customFormat="1" x14ac:dyDescent="0.2"/>
    <row r="16" spans="1:19" s="3" customFormat="1" x14ac:dyDescent="0.2"/>
    <row r="17" s="3" customFormat="1" x14ac:dyDescent="0.2"/>
    <row r="18" s="3" customFormat="1" x14ac:dyDescent="0.2"/>
    <row r="19" s="3" customFormat="1" x14ac:dyDescent="0.2"/>
    <row r="20" s="3" customFormat="1" x14ac:dyDescent="0.2"/>
    <row r="21" s="3" customFormat="1" x14ac:dyDescent="0.2"/>
    <row r="22" s="3" customFormat="1" x14ac:dyDescent="0.2"/>
  </sheetData>
  <phoneticPr fontId="0" type="noConversion"/>
  <pageMargins left="0.5" right="0.5" top="1" bottom="1" header="0.5" footer="0.5"/>
  <pageSetup paperSize="5" scale="83" orientation="landscape" r:id="rId1"/>
  <headerFooter alignWithMargins="0">
    <oddFooter>&amp;L&amp;"Arial,Bold"&amp;F&amp;C&amp;A&amp;R&amp;D  &amp;T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52"/>
  <sheetViews>
    <sheetView workbookViewId="0">
      <pane xSplit="2" ySplit="5" topLeftCell="T6" activePane="bottomRight" state="frozen"/>
      <selection activeCell="AF39" sqref="AF39"/>
      <selection pane="topRight" activeCell="AF39" sqref="AF39"/>
      <selection pane="bottomLeft" activeCell="AF39" sqref="AF39"/>
      <selection pane="bottomRight" activeCell="AA10" sqref="AA10"/>
    </sheetView>
  </sheetViews>
  <sheetFormatPr baseColWidth="10" defaultColWidth="9.140625" defaultRowHeight="12.75" outlineLevelCol="1" x14ac:dyDescent="0.2"/>
  <cols>
    <col min="1" max="1" width="53.5703125" customWidth="1"/>
    <col min="2" max="2" width="16.140625" customWidth="1"/>
    <col min="3" max="11" width="9.28515625" hidden="1" customWidth="1" outlineLevel="1"/>
    <col min="12" max="13" width="0" hidden="1" customWidth="1" outlineLevel="1"/>
    <col min="14" max="19" width="0" style="116" hidden="1" customWidth="1" outlineLevel="1"/>
    <col min="20" max="20" width="9.140625" style="116" collapsed="1"/>
    <col min="21" max="24" width="9.140625" style="116"/>
    <col min="25" max="25" width="9.140625" style="345"/>
    <col min="26" max="28" width="9.140625" style="76"/>
    <col min="29" max="29" width="9.140625" style="239"/>
    <col min="47" max="47" width="6" style="181" customWidth="1"/>
  </cols>
  <sheetData>
    <row r="1" spans="1:47" ht="15.75" x14ac:dyDescent="0.25">
      <c r="A1" s="18" t="s">
        <v>67</v>
      </c>
    </row>
    <row r="2" spans="1:47" x14ac:dyDescent="0.2">
      <c r="A2" s="2" t="s">
        <v>154</v>
      </c>
    </row>
    <row r="3" spans="1:47" x14ac:dyDescent="0.2">
      <c r="A3" s="2" t="s">
        <v>155</v>
      </c>
    </row>
    <row r="5" spans="1:47" s="2" customFormat="1" ht="13.5" thickBot="1" x14ac:dyDescent="0.25">
      <c r="A5" s="19" t="s">
        <v>156</v>
      </c>
      <c r="B5" s="20" t="s">
        <v>26</v>
      </c>
      <c r="C5" s="20" t="s">
        <v>36</v>
      </c>
      <c r="D5" s="20" t="s">
        <v>37</v>
      </c>
      <c r="E5" s="20" t="s">
        <v>38</v>
      </c>
      <c r="F5" s="20" t="s">
        <v>39</v>
      </c>
      <c r="G5" s="20" t="s">
        <v>40</v>
      </c>
      <c r="H5" s="20" t="s">
        <v>41</v>
      </c>
      <c r="I5" s="20" t="s">
        <v>42</v>
      </c>
      <c r="J5" s="20" t="s">
        <v>43</v>
      </c>
      <c r="K5" s="20" t="s">
        <v>44</v>
      </c>
      <c r="L5" s="20" t="s">
        <v>45</v>
      </c>
      <c r="M5" s="20" t="s">
        <v>168</v>
      </c>
      <c r="N5" s="117" t="s">
        <v>169</v>
      </c>
      <c r="O5" s="117" t="s">
        <v>170</v>
      </c>
      <c r="P5" s="117" t="s">
        <v>171</v>
      </c>
      <c r="Q5" s="117" t="s">
        <v>172</v>
      </c>
      <c r="R5" s="117" t="s">
        <v>173</v>
      </c>
      <c r="S5" s="117" t="s">
        <v>174</v>
      </c>
      <c r="T5" s="117" t="s">
        <v>175</v>
      </c>
      <c r="U5" s="117" t="s">
        <v>176</v>
      </c>
      <c r="V5" s="117" t="s">
        <v>177</v>
      </c>
      <c r="W5" s="117" t="s">
        <v>178</v>
      </c>
      <c r="X5" s="117" t="s">
        <v>294</v>
      </c>
      <c r="Y5" s="349" t="s">
        <v>309</v>
      </c>
      <c r="Z5" s="77" t="s">
        <v>315</v>
      </c>
      <c r="AA5" s="77" t="s">
        <v>316</v>
      </c>
      <c r="AB5" s="77" t="s">
        <v>317</v>
      </c>
      <c r="AC5" s="240" t="s">
        <v>318</v>
      </c>
      <c r="AD5" s="20" t="s">
        <v>319</v>
      </c>
      <c r="AE5" s="73" t="s">
        <v>330</v>
      </c>
      <c r="AF5" s="73" t="s">
        <v>331</v>
      </c>
      <c r="AG5" s="73" t="s">
        <v>333</v>
      </c>
      <c r="AH5" s="73" t="s">
        <v>337</v>
      </c>
      <c r="AI5" s="73" t="s">
        <v>338</v>
      </c>
      <c r="AJ5" s="73" t="s">
        <v>354</v>
      </c>
      <c r="AK5" s="73" t="s">
        <v>357</v>
      </c>
      <c r="AL5" s="73" t="s">
        <v>357</v>
      </c>
      <c r="AM5" s="73" t="s">
        <v>357</v>
      </c>
      <c r="AN5" s="73" t="s">
        <v>365</v>
      </c>
      <c r="AO5" s="73" t="s">
        <v>369</v>
      </c>
      <c r="AP5" s="73"/>
      <c r="AQ5" s="73"/>
      <c r="AR5" s="73"/>
      <c r="AS5" s="73"/>
      <c r="AU5" s="182" t="s">
        <v>298</v>
      </c>
    </row>
    <row r="7" spans="1:47" x14ac:dyDescent="0.2">
      <c r="A7" s="28" t="s">
        <v>179</v>
      </c>
    </row>
    <row r="8" spans="1:47" s="3" customFormat="1" x14ac:dyDescent="0.2">
      <c r="A8" s="3" t="s">
        <v>398</v>
      </c>
      <c r="B8" s="3" t="s">
        <v>201</v>
      </c>
      <c r="C8" s="3">
        <f>'Data Input'!G46</f>
        <v>441</v>
      </c>
      <c r="D8" s="3">
        <f>'Data Input'!H46</f>
        <v>566</v>
      </c>
      <c r="E8" s="3">
        <f>'Data Input'!I46</f>
        <v>686</v>
      </c>
      <c r="F8" s="3">
        <f>'Data Input'!J46</f>
        <v>926</v>
      </c>
      <c r="G8" s="3">
        <f>'Data Input'!K46</f>
        <v>1132</v>
      </c>
      <c r="H8" s="3">
        <f>'Data Input'!L46</f>
        <v>1109</v>
      </c>
      <c r="I8" s="3">
        <f>'Data Input'!M46</f>
        <v>667</v>
      </c>
      <c r="J8" s="3">
        <f>'Data Input'!N46</f>
        <v>635</v>
      </c>
      <c r="K8" s="3">
        <f>'Data Input'!O46</f>
        <v>645.03436999999997</v>
      </c>
      <c r="L8" s="3">
        <f>'Data Input'!P46</f>
        <v>676.24282600000004</v>
      </c>
      <c r="M8" s="3">
        <f>'Data Input'!Q46</f>
        <v>682.943175</v>
      </c>
      <c r="N8" s="122">
        <f>'Data Input'!R46</f>
        <v>708.14363400000002</v>
      </c>
      <c r="O8" s="122">
        <f>'Data Input'!S46</f>
        <v>740.20953299999996</v>
      </c>
      <c r="P8" s="122">
        <f>'Data Input'!T46</f>
        <v>795.11688900000001</v>
      </c>
      <c r="Q8" s="122">
        <f>'Data Input'!U46</f>
        <v>808.21466899999996</v>
      </c>
      <c r="R8" s="122">
        <f>'Data Input'!V46</f>
        <v>1070</v>
      </c>
      <c r="S8" s="122">
        <f>'Data Input'!W46</f>
        <v>1244.570158</v>
      </c>
      <c r="T8" s="122">
        <f>'Data Input'!X46</f>
        <v>1316.2618660000001</v>
      </c>
      <c r="U8" s="122">
        <f>'Data Input'!Y46</f>
        <v>1343.8129570000001</v>
      </c>
      <c r="V8" s="122">
        <f>'Data Input'!Z46</f>
        <v>1393.0569660000001</v>
      </c>
      <c r="W8" s="122">
        <f>'Data Input'!AA46</f>
        <v>1460.7559490000001</v>
      </c>
      <c r="X8" s="122">
        <f>'Data Input'!AB46</f>
        <v>1525.800671</v>
      </c>
      <c r="Y8" s="352">
        <f>'Data Input'!AC46</f>
        <v>1598.2380873</v>
      </c>
      <c r="Z8" s="79">
        <f>'Data Input'!AD46</f>
        <v>1664.1763250155739</v>
      </c>
      <c r="AA8" s="79">
        <f>'Data Input'!AE46</f>
        <v>1732.632443033782</v>
      </c>
      <c r="AB8" s="79">
        <f>'Data Input'!AF46</f>
        <v>1794.1547928826822</v>
      </c>
      <c r="AC8" s="241">
        <f>'Data Input'!AG46</f>
        <v>1857.8091145237856</v>
      </c>
      <c r="AU8" s="183"/>
    </row>
    <row r="9" spans="1:47" s="122" customFormat="1" x14ac:dyDescent="0.2">
      <c r="A9" s="367" t="s">
        <v>397</v>
      </c>
      <c r="U9" s="122">
        <f>'Data Input'!Y44</f>
        <v>0</v>
      </c>
      <c r="V9" s="122">
        <f>'Data Input'!Z44</f>
        <v>0</v>
      </c>
      <c r="W9" s="122">
        <f>'Data Input'!AA44</f>
        <v>1</v>
      </c>
      <c r="X9" s="122">
        <f>'Data Input'!AB44</f>
        <v>1</v>
      </c>
      <c r="Y9" s="352">
        <f>'Data Input'!AC44</f>
        <v>1</v>
      </c>
      <c r="Z9" s="76">
        <f>'Data Input'!AD44</f>
        <v>0</v>
      </c>
      <c r="AA9" s="76">
        <f>'Data Input'!AE44</f>
        <v>0</v>
      </c>
      <c r="AB9" s="76">
        <f>'Data Input'!AF44</f>
        <v>0</v>
      </c>
      <c r="AC9" s="239">
        <f>'Data Input'!AG44</f>
        <v>0</v>
      </c>
      <c r="AU9" s="211"/>
    </row>
    <row r="10" spans="1:47" s="3" customFormat="1" x14ac:dyDescent="0.2">
      <c r="A10" s="3" t="s">
        <v>180</v>
      </c>
      <c r="B10" s="3" t="s">
        <v>201</v>
      </c>
      <c r="C10" s="3">
        <f>'Data Input'!G32</f>
        <v>663</v>
      </c>
      <c r="D10" s="3">
        <f>'Data Input'!H32</f>
        <v>710</v>
      </c>
      <c r="E10" s="3">
        <f>'Data Input'!I32</f>
        <v>617</v>
      </c>
      <c r="F10" s="3">
        <f>'Data Input'!J32</f>
        <v>610</v>
      </c>
      <c r="G10" s="3">
        <f>'Data Input'!K32</f>
        <v>582</v>
      </c>
      <c r="H10" s="3">
        <f>'Data Input'!L32</f>
        <v>607</v>
      </c>
      <c r="I10" s="3">
        <f>'Data Input'!M32</f>
        <v>620</v>
      </c>
      <c r="J10" s="3">
        <f>'Data Input'!N32</f>
        <v>615</v>
      </c>
      <c r="K10" s="3">
        <f>'Data Input'!O32</f>
        <v>628</v>
      </c>
      <c r="L10" s="3">
        <f>'Data Input'!P32</f>
        <v>664</v>
      </c>
      <c r="M10" s="3">
        <f>'Data Input'!Q32</f>
        <v>693</v>
      </c>
      <c r="N10" s="122">
        <f>'Data Input'!R32</f>
        <v>725</v>
      </c>
      <c r="O10" s="122">
        <f>'Data Input'!S32</f>
        <v>771</v>
      </c>
      <c r="P10" s="122">
        <f>'Data Input'!T32</f>
        <v>795</v>
      </c>
      <c r="Q10" s="122">
        <f>'Data Input'!U32</f>
        <v>1040</v>
      </c>
      <c r="R10" s="122">
        <f>'Data Input'!V32</f>
        <v>1117</v>
      </c>
      <c r="S10" s="122">
        <f>'Data Input'!W32</f>
        <v>1278</v>
      </c>
      <c r="T10" s="122">
        <f>'Data Input'!X32</f>
        <v>1313</v>
      </c>
      <c r="U10" s="122">
        <f>'Data Input'!Y32</f>
        <v>1377</v>
      </c>
      <c r="V10" s="122">
        <f>'Data Input'!Z32</f>
        <v>1446</v>
      </c>
      <c r="W10" s="122">
        <f>'Data Input'!AA32</f>
        <v>1511</v>
      </c>
      <c r="X10" s="122">
        <f>'Data Input'!AB32</f>
        <v>1578</v>
      </c>
      <c r="Y10" s="352">
        <f>'Data Input'!AC32</f>
        <v>1615</v>
      </c>
      <c r="Z10" s="79">
        <f>'Data Input'!AD32</f>
        <v>1676.5191256830601</v>
      </c>
      <c r="AA10" s="79">
        <f>'Data Input'!AE32</f>
        <v>1744.1940655737703</v>
      </c>
      <c r="AB10" s="79">
        <f>'Data Input'!AF32</f>
        <v>1805.014361092896</v>
      </c>
      <c r="AC10" s="241">
        <f>'Data Input'!AG32</f>
        <v>1867.9422996841527</v>
      </c>
      <c r="AU10" s="183"/>
    </row>
    <row r="11" spans="1:47" s="3" customFormat="1" x14ac:dyDescent="0.2">
      <c r="A11" s="3" t="s">
        <v>181</v>
      </c>
      <c r="B11" s="3" t="s">
        <v>201</v>
      </c>
      <c r="C11" s="6">
        <f>'Data Input'!G33</f>
        <v>35</v>
      </c>
      <c r="D11" s="6">
        <f>'Data Input'!H33</f>
        <v>9</v>
      </c>
      <c r="E11" s="6">
        <f>'Data Input'!I33</f>
        <v>9</v>
      </c>
      <c r="F11" s="6">
        <f>'Data Input'!J33</f>
        <v>9</v>
      </c>
      <c r="G11" s="6">
        <f>'Data Input'!K33</f>
        <v>8</v>
      </c>
      <c r="H11" s="6">
        <f>'Data Input'!L33</f>
        <v>14</v>
      </c>
      <c r="I11" s="6">
        <f>'Data Input'!M33</f>
        <v>9</v>
      </c>
      <c r="J11" s="6">
        <f>'Data Input'!N33</f>
        <v>9</v>
      </c>
      <c r="K11" s="6">
        <f>'Data Input'!O33</f>
        <v>10</v>
      </c>
      <c r="L11" s="6">
        <f>'Data Input'!P33</f>
        <v>11</v>
      </c>
      <c r="M11" s="6">
        <f>'Data Input'!Q33</f>
        <v>12</v>
      </c>
      <c r="N11" s="126">
        <f>'Data Input'!R33</f>
        <v>12</v>
      </c>
      <c r="O11" s="126">
        <f>'Data Input'!S33</f>
        <v>13</v>
      </c>
      <c r="P11" s="126">
        <f>'Data Input'!T33</f>
        <v>14</v>
      </c>
      <c r="Q11" s="126">
        <f>'Data Input'!U33</f>
        <v>19</v>
      </c>
      <c r="R11" s="126">
        <f>'Data Input'!V33</f>
        <v>21</v>
      </c>
      <c r="S11" s="126">
        <f>'Data Input'!W33</f>
        <v>24</v>
      </c>
      <c r="T11" s="126">
        <f>'Data Input'!X33</f>
        <v>25.194857142857138</v>
      </c>
      <c r="U11" s="126">
        <f>'Data Input'!Y33</f>
        <v>26</v>
      </c>
      <c r="V11" s="126">
        <f>'Data Input'!Z33</f>
        <v>27.716232142857141</v>
      </c>
      <c r="W11" s="126">
        <f>'Data Input'!AA33</f>
        <v>29</v>
      </c>
      <c r="X11" s="126">
        <f>'Data Input'!AB33</f>
        <v>32</v>
      </c>
      <c r="Y11" s="353">
        <f>'Data Input'!AC33</f>
        <v>33</v>
      </c>
      <c r="Z11" s="81">
        <f>'Data Input'!AD33</f>
        <v>34.361475409836068</v>
      </c>
      <c r="AA11" s="81">
        <f>'Data Input'!AE33</f>
        <v>35.774939344262293</v>
      </c>
      <c r="AB11" s="81">
        <f>'Data Input'!AF33</f>
        <v>37.04523665573771</v>
      </c>
      <c r="AC11" s="242">
        <f>'Data Input'!AG33</f>
        <v>38.359554360491806</v>
      </c>
      <c r="AU11" s="183"/>
    </row>
    <row r="12" spans="1:47" s="8" customFormat="1" x14ac:dyDescent="0.2">
      <c r="A12" s="8" t="s">
        <v>182</v>
      </c>
      <c r="B12" s="8" t="s">
        <v>31</v>
      </c>
      <c r="C12" s="21">
        <f>C8-C10-C11</f>
        <v>-257</v>
      </c>
      <c r="D12" s="21">
        <f t="shared" ref="D12:N12" si="0">D8-D10-D11</f>
        <v>-153</v>
      </c>
      <c r="E12" s="21">
        <f t="shared" si="0"/>
        <v>60</v>
      </c>
      <c r="F12" s="21">
        <f t="shared" si="0"/>
        <v>307</v>
      </c>
      <c r="G12" s="21">
        <f t="shared" si="0"/>
        <v>542</v>
      </c>
      <c r="H12" s="21">
        <f t="shared" si="0"/>
        <v>488</v>
      </c>
      <c r="I12" s="21">
        <f t="shared" si="0"/>
        <v>38</v>
      </c>
      <c r="J12" s="21">
        <f t="shared" si="0"/>
        <v>11</v>
      </c>
      <c r="K12" s="21">
        <f t="shared" si="0"/>
        <v>7.0343699999999671</v>
      </c>
      <c r="L12" s="21">
        <f t="shared" si="0"/>
        <v>1.2428260000000364</v>
      </c>
      <c r="M12" s="21">
        <f t="shared" si="0"/>
        <v>-22.056825000000003</v>
      </c>
      <c r="N12" s="141">
        <f t="shared" si="0"/>
        <v>-28.85636599999998</v>
      </c>
      <c r="O12" s="141">
        <f t="shared" ref="O12:T12" si="1">O8-O10-O11</f>
        <v>-43.790467000000035</v>
      </c>
      <c r="P12" s="141">
        <f t="shared" si="1"/>
        <v>-13.883110999999985</v>
      </c>
      <c r="Q12" s="141">
        <f t="shared" si="1"/>
        <v>-250.78533100000004</v>
      </c>
      <c r="R12" s="141">
        <f t="shared" si="1"/>
        <v>-68</v>
      </c>
      <c r="S12" s="141">
        <f t="shared" si="1"/>
        <v>-57.429842000000008</v>
      </c>
      <c r="T12" s="141">
        <f t="shared" si="1"/>
        <v>-21.932991142857084</v>
      </c>
      <c r="U12" s="141">
        <f>U8-U9-U10-U11</f>
        <v>-59.187042999999903</v>
      </c>
      <c r="V12" s="141">
        <f t="shared" ref="V12:AA12" si="2">V8-V9-V10-V11</f>
        <v>-80.659266142857035</v>
      </c>
      <c r="W12" s="141">
        <f t="shared" si="2"/>
        <v>-80.244050999999899</v>
      </c>
      <c r="X12" s="141">
        <f t="shared" si="2"/>
        <v>-85.199329000000034</v>
      </c>
      <c r="Y12" s="368">
        <f t="shared" si="2"/>
        <v>-50.761912700000039</v>
      </c>
      <c r="Z12" s="95">
        <f t="shared" si="2"/>
        <v>-46.704276077322312</v>
      </c>
      <c r="AA12" s="95">
        <f t="shared" si="2"/>
        <v>-47.336561884250614</v>
      </c>
      <c r="AB12" s="95">
        <f t="shared" ref="AB12:AC12" si="3">AB8-AB9-AB10-AB11</f>
        <v>-47.904804865951576</v>
      </c>
      <c r="AC12" s="262">
        <f t="shared" si="3"/>
        <v>-48.492739520858827</v>
      </c>
      <c r="AU12" s="184"/>
    </row>
    <row r="13" spans="1:47" s="3" customFormat="1" x14ac:dyDescent="0.2">
      <c r="N13" s="122"/>
      <c r="O13" s="122"/>
      <c r="P13" s="122"/>
      <c r="Q13" s="122"/>
      <c r="R13" s="122"/>
      <c r="S13" s="122"/>
      <c r="T13" s="122"/>
      <c r="U13" s="122"/>
      <c r="V13" s="122"/>
      <c r="W13" s="122"/>
      <c r="X13" s="122"/>
      <c r="Y13" s="352"/>
      <c r="Z13" s="79"/>
      <c r="AA13" s="79"/>
      <c r="AB13" s="79"/>
      <c r="AC13" s="241"/>
      <c r="AU13" s="183"/>
    </row>
    <row r="14" spans="1:47" s="3" customFormat="1" ht="15" x14ac:dyDescent="0.35">
      <c r="A14" s="41" t="s">
        <v>185</v>
      </c>
      <c r="N14" s="122"/>
      <c r="O14" s="122"/>
      <c r="P14" s="122"/>
      <c r="Q14" s="122"/>
      <c r="R14" s="122"/>
      <c r="S14" s="122"/>
      <c r="T14" s="122"/>
      <c r="U14" s="122"/>
      <c r="V14" s="122"/>
      <c r="W14" s="122"/>
      <c r="X14" s="122"/>
      <c r="Y14" s="352"/>
      <c r="Z14" s="79"/>
      <c r="AA14" s="79"/>
      <c r="AB14" s="79"/>
      <c r="AC14" s="241"/>
      <c r="AU14" s="183"/>
    </row>
    <row r="15" spans="1:47" s="3" customFormat="1" x14ac:dyDescent="0.2">
      <c r="A15" s="42" t="s">
        <v>183</v>
      </c>
      <c r="B15" s="3" t="s">
        <v>31</v>
      </c>
      <c r="C15" s="3">
        <f>0.5*C12</f>
        <v>-128.5</v>
      </c>
      <c r="D15" s="3">
        <f t="shared" ref="D15:K15" si="4">0.5*D12</f>
        <v>-76.5</v>
      </c>
      <c r="E15" s="3">
        <f t="shared" si="4"/>
        <v>30</v>
      </c>
      <c r="F15" s="3">
        <f t="shared" si="4"/>
        <v>153.5</v>
      </c>
      <c r="G15" s="3">
        <f t="shared" si="4"/>
        <v>271</v>
      </c>
      <c r="H15" s="3">
        <f t="shared" si="4"/>
        <v>244</v>
      </c>
      <c r="I15" s="3">
        <f t="shared" si="4"/>
        <v>19</v>
      </c>
      <c r="J15" s="3">
        <f t="shared" si="4"/>
        <v>5.5</v>
      </c>
      <c r="K15" s="3">
        <f t="shared" si="4"/>
        <v>3.5171849999999836</v>
      </c>
      <c r="L15" s="3">
        <f t="shared" ref="L15:Q15" si="5">0.5*L12</f>
        <v>0.6214130000000182</v>
      </c>
      <c r="M15" s="3">
        <f t="shared" si="5"/>
        <v>-11.028412500000002</v>
      </c>
      <c r="N15" s="122">
        <f t="shared" si="5"/>
        <v>-14.42818299999999</v>
      </c>
      <c r="O15" s="122">
        <f t="shared" si="5"/>
        <v>-21.895233500000018</v>
      </c>
      <c r="P15" s="122">
        <f t="shared" si="5"/>
        <v>-6.9415554999999927</v>
      </c>
      <c r="Q15" s="122">
        <f t="shared" si="5"/>
        <v>-125.39266550000002</v>
      </c>
      <c r="R15" s="122">
        <f t="shared" ref="R15:W15" si="6">0.5*R12</f>
        <v>-34</v>
      </c>
      <c r="S15" s="122">
        <f t="shared" si="6"/>
        <v>-28.714921000000004</v>
      </c>
      <c r="T15" s="122">
        <f t="shared" si="6"/>
        <v>-10.966495571428542</v>
      </c>
      <c r="U15" s="122">
        <f t="shared" si="6"/>
        <v>-29.593521499999952</v>
      </c>
      <c r="V15" s="122">
        <f t="shared" si="6"/>
        <v>-40.329633071428518</v>
      </c>
      <c r="W15" s="122">
        <f t="shared" si="6"/>
        <v>-40.12202549999995</v>
      </c>
      <c r="X15" s="122">
        <f t="shared" ref="X15:AC15" si="7">0.5*X12</f>
        <v>-42.599664500000017</v>
      </c>
      <c r="Y15" s="352">
        <f t="shared" si="7"/>
        <v>-25.380956350000019</v>
      </c>
      <c r="Z15" s="79">
        <f t="shared" si="7"/>
        <v>-23.352138038661156</v>
      </c>
      <c r="AA15" s="79">
        <f t="shared" si="7"/>
        <v>-23.668280942125307</v>
      </c>
      <c r="AB15" s="79">
        <f t="shared" si="7"/>
        <v>-23.952402432975788</v>
      </c>
      <c r="AC15" s="241">
        <f t="shared" si="7"/>
        <v>-24.246369760429413</v>
      </c>
      <c r="AU15" s="183"/>
    </row>
    <row r="16" spans="1:47" s="3" customFormat="1" x14ac:dyDescent="0.2">
      <c r="A16" t="s">
        <v>89</v>
      </c>
      <c r="B16" s="3" t="s">
        <v>201</v>
      </c>
      <c r="C16" s="3">
        <f>'Data Input'!G40</f>
        <v>14</v>
      </c>
      <c r="D16" s="3">
        <f>'Data Input'!H40</f>
        <v>14</v>
      </c>
      <c r="E16" s="3">
        <f>'Data Input'!I40</f>
        <v>14</v>
      </c>
      <c r="F16" s="3">
        <f>'Data Input'!J40</f>
        <v>14</v>
      </c>
      <c r="G16" s="3">
        <f>'Data Input'!K40</f>
        <v>13</v>
      </c>
      <c r="H16" s="3">
        <f>'Data Input'!L40</f>
        <v>13</v>
      </c>
      <c r="I16" s="3">
        <f>'Data Input'!M40</f>
        <v>14</v>
      </c>
      <c r="J16" s="3">
        <f>'Data Input'!N40</f>
        <v>14</v>
      </c>
      <c r="K16" s="3">
        <f>'Data Input'!O40</f>
        <v>13</v>
      </c>
      <c r="L16" s="3">
        <f>'Data Input'!P40</f>
        <v>13</v>
      </c>
      <c r="M16" s="3">
        <f>'Data Input'!Q40</f>
        <v>13</v>
      </c>
      <c r="N16" s="122">
        <f>'Data Input'!R40</f>
        <v>13</v>
      </c>
      <c r="O16" s="122">
        <f>'Data Input'!S40</f>
        <v>13</v>
      </c>
      <c r="P16" s="122">
        <f>'Data Input'!T40</f>
        <v>13.6</v>
      </c>
      <c r="Q16" s="122">
        <f>'Data Input'!U40</f>
        <v>13.8</v>
      </c>
      <c r="R16" s="213">
        <f>'Data Input'!V40</f>
        <v>14</v>
      </c>
      <c r="S16" s="213">
        <f>'Data Input'!W40</f>
        <v>14</v>
      </c>
      <c r="T16" s="213">
        <f>'Data Input'!X40</f>
        <v>13.9</v>
      </c>
      <c r="U16" s="213">
        <f>'Data Input'!Y40</f>
        <v>14.1</v>
      </c>
      <c r="V16" s="213">
        <f>'Data Input'!Z40</f>
        <v>14.6</v>
      </c>
      <c r="W16" s="213">
        <f>'Data Input'!AA40</f>
        <v>14.5</v>
      </c>
      <c r="X16" s="213">
        <f>'Data Input'!AB40</f>
        <v>14.4</v>
      </c>
      <c r="Y16" s="369">
        <f>'Data Input'!AC40</f>
        <v>15.3</v>
      </c>
      <c r="Z16" s="212">
        <f>'Data Input'!AD40</f>
        <v>15.3</v>
      </c>
      <c r="AA16" s="212">
        <f>'Data Input'!AE40</f>
        <v>15.3</v>
      </c>
      <c r="AB16" s="212">
        <f>'Data Input'!AF40</f>
        <v>15.3</v>
      </c>
      <c r="AC16" s="263">
        <f>'Data Input'!AG40</f>
        <v>15.3</v>
      </c>
      <c r="AU16" s="183"/>
    </row>
    <row r="17" spans="1:47" s="8" customFormat="1" x14ac:dyDescent="0.2">
      <c r="A17" s="8" t="s">
        <v>184</v>
      </c>
      <c r="B17" s="8" t="s">
        <v>31</v>
      </c>
      <c r="C17" s="8">
        <f t="shared" ref="C17:N17" si="8">C15/C16</f>
        <v>-9.1785714285714288</v>
      </c>
      <c r="D17" s="8">
        <f t="shared" si="8"/>
        <v>-5.4642857142857144</v>
      </c>
      <c r="E17" s="8">
        <f t="shared" si="8"/>
        <v>2.1428571428571428</v>
      </c>
      <c r="F17" s="8">
        <f t="shared" si="8"/>
        <v>10.964285714285714</v>
      </c>
      <c r="G17" s="8">
        <f t="shared" si="8"/>
        <v>20.846153846153847</v>
      </c>
      <c r="H17" s="8">
        <f t="shared" si="8"/>
        <v>18.76923076923077</v>
      </c>
      <c r="I17" s="8">
        <f t="shared" si="8"/>
        <v>1.3571428571428572</v>
      </c>
      <c r="J17" s="8">
        <f t="shared" si="8"/>
        <v>0.39285714285714285</v>
      </c>
      <c r="K17" s="8">
        <f t="shared" si="8"/>
        <v>0.27055269230769102</v>
      </c>
      <c r="L17" s="8">
        <f t="shared" si="8"/>
        <v>4.7801000000001398E-2</v>
      </c>
      <c r="M17" s="8">
        <f t="shared" si="8"/>
        <v>-0.84833942307692323</v>
      </c>
      <c r="N17" s="120">
        <f t="shared" si="8"/>
        <v>-1.10986023076923</v>
      </c>
      <c r="O17" s="120">
        <f t="shared" ref="O17:AA17" si="9">O15/O16</f>
        <v>-1.6842487307692322</v>
      </c>
      <c r="P17" s="120">
        <f t="shared" si="9"/>
        <v>-0.51040849264705834</v>
      </c>
      <c r="Q17" s="120">
        <f t="shared" si="9"/>
        <v>-9.0864250362318852</v>
      </c>
      <c r="R17" s="120">
        <f t="shared" si="9"/>
        <v>-2.4285714285714284</v>
      </c>
      <c r="S17" s="120">
        <f t="shared" si="9"/>
        <v>-2.051065785714286</v>
      </c>
      <c r="T17" s="120">
        <f t="shared" si="9"/>
        <v>-0.78895651593011096</v>
      </c>
      <c r="U17" s="120">
        <f t="shared" si="9"/>
        <v>-2.0988313120567343</v>
      </c>
      <c r="V17" s="120">
        <f t="shared" si="9"/>
        <v>-2.7623036350293506</v>
      </c>
      <c r="W17" s="120">
        <f t="shared" si="9"/>
        <v>-2.7670362413793068</v>
      </c>
      <c r="X17" s="120">
        <f t="shared" si="9"/>
        <v>-2.9583100347222233</v>
      </c>
      <c r="Y17" s="350">
        <f t="shared" si="9"/>
        <v>-1.6588860359477136</v>
      </c>
      <c r="Z17" s="78">
        <f t="shared" si="9"/>
        <v>-1.5262835319386376</v>
      </c>
      <c r="AA17" s="78">
        <f t="shared" si="9"/>
        <v>-1.5469464668055755</v>
      </c>
      <c r="AB17" s="78">
        <f t="shared" ref="AB17:AC17" si="10">AB15/AB16</f>
        <v>-1.5655164988873063</v>
      </c>
      <c r="AC17" s="243">
        <f t="shared" si="10"/>
        <v>-1.5847300497012689</v>
      </c>
      <c r="AU17" s="184"/>
    </row>
    <row r="18" spans="1:47" s="3" customFormat="1" x14ac:dyDescent="0.2">
      <c r="N18" s="122"/>
      <c r="O18" s="122"/>
      <c r="P18" s="122"/>
      <c r="Q18" s="122"/>
      <c r="R18" s="122"/>
      <c r="S18" s="122"/>
      <c r="T18" s="122"/>
      <c r="U18" s="122"/>
      <c r="V18" s="122"/>
      <c r="W18" s="122"/>
      <c r="X18" s="122"/>
      <c r="Y18" s="352"/>
      <c r="Z18" s="79"/>
      <c r="AA18" s="79"/>
      <c r="AB18" s="79"/>
      <c r="AC18" s="241"/>
      <c r="AU18" s="183"/>
    </row>
    <row r="19" spans="1:47" s="3" customFormat="1" ht="15" x14ac:dyDescent="0.35">
      <c r="A19" s="41" t="s">
        <v>186</v>
      </c>
      <c r="N19" s="122"/>
      <c r="O19" s="122"/>
      <c r="P19" s="122"/>
      <c r="Q19" s="122"/>
      <c r="R19" s="122"/>
      <c r="S19" s="122"/>
      <c r="T19" s="122"/>
      <c r="U19" s="122"/>
      <c r="V19" s="122"/>
      <c r="W19" s="122"/>
      <c r="X19" s="122"/>
      <c r="Y19" s="352"/>
      <c r="Z19" s="79"/>
      <c r="AA19" s="79"/>
      <c r="AB19" s="79"/>
      <c r="AC19" s="241"/>
      <c r="AU19" s="183"/>
    </row>
    <row r="20" spans="1:47" s="3" customFormat="1" x14ac:dyDescent="0.2">
      <c r="A20" s="3" t="s">
        <v>158</v>
      </c>
      <c r="B20" s="3" t="s">
        <v>187</v>
      </c>
      <c r="C20" s="3">
        <f>ROUND(+$C17,0)-1</f>
        <v>-10</v>
      </c>
      <c r="D20" s="3">
        <f>ROUND(+$C17,0)-1</f>
        <v>-10</v>
      </c>
      <c r="E20" s="3">
        <f>ROUND(+$C17,0)-1</f>
        <v>-10</v>
      </c>
      <c r="F20" s="3">
        <f>ROUND(+$C17,0)</f>
        <v>-9</v>
      </c>
      <c r="G20" s="3">
        <f t="shared" ref="G20:P20" si="11">ROUND(+$C17,0)</f>
        <v>-9</v>
      </c>
      <c r="H20" s="3">
        <f t="shared" si="11"/>
        <v>-9</v>
      </c>
      <c r="I20" s="3">
        <f t="shared" si="11"/>
        <v>-9</v>
      </c>
      <c r="J20" s="3">
        <f t="shared" si="11"/>
        <v>-9</v>
      </c>
      <c r="K20" s="3">
        <f t="shared" si="11"/>
        <v>-9</v>
      </c>
      <c r="L20" s="3">
        <f t="shared" si="11"/>
        <v>-9</v>
      </c>
      <c r="M20" s="3">
        <f t="shared" si="11"/>
        <v>-9</v>
      </c>
      <c r="N20" s="122">
        <f t="shared" si="11"/>
        <v>-9</v>
      </c>
      <c r="O20" s="122">
        <f t="shared" si="11"/>
        <v>-9</v>
      </c>
      <c r="P20" s="122">
        <f t="shared" si="11"/>
        <v>-9</v>
      </c>
      <c r="Q20" s="122"/>
      <c r="R20" s="122"/>
      <c r="S20" s="122"/>
      <c r="T20" s="122"/>
      <c r="U20" s="122"/>
      <c r="V20" s="122"/>
      <c r="W20" s="122"/>
      <c r="X20" s="122"/>
      <c r="Y20" s="352"/>
      <c r="Z20" s="79"/>
      <c r="AA20" s="79"/>
      <c r="AB20" s="79"/>
      <c r="AC20" s="241"/>
      <c r="AT20" s="3">
        <f>SUM(C20:AM20)</f>
        <v>-129</v>
      </c>
      <c r="AU20" s="183">
        <f>ROUND(C$15,0)-ROUND($AT20,0)</f>
        <v>0</v>
      </c>
    </row>
    <row r="21" spans="1:47" s="3" customFormat="1" x14ac:dyDescent="0.2">
      <c r="A21" s="3" t="s">
        <v>159</v>
      </c>
      <c r="B21" s="3" t="s">
        <v>187</v>
      </c>
      <c r="D21" s="3">
        <f>ROUND(+$D17,0)-1</f>
        <v>-6</v>
      </c>
      <c r="E21" s="3">
        <f t="shared" ref="E21:J21" si="12">ROUND(+$D17,0)-1</f>
        <v>-6</v>
      </c>
      <c r="F21" s="3">
        <f t="shared" si="12"/>
        <v>-6</v>
      </c>
      <c r="G21" s="3">
        <f t="shared" si="12"/>
        <v>-6</v>
      </c>
      <c r="H21" s="3">
        <f t="shared" si="12"/>
        <v>-6</v>
      </c>
      <c r="I21" s="3">
        <f t="shared" si="12"/>
        <v>-6</v>
      </c>
      <c r="J21" s="3">
        <f t="shared" si="12"/>
        <v>-6</v>
      </c>
      <c r="K21" s="3">
        <f>ROUND(+$D17,0)</f>
        <v>-5</v>
      </c>
      <c r="L21" s="3">
        <f t="shared" ref="L21:Q21" si="13">ROUND(+$D17,0)</f>
        <v>-5</v>
      </c>
      <c r="M21" s="3">
        <f t="shared" si="13"/>
        <v>-5</v>
      </c>
      <c r="N21" s="122">
        <f t="shared" si="13"/>
        <v>-5</v>
      </c>
      <c r="O21" s="122">
        <f t="shared" si="13"/>
        <v>-5</v>
      </c>
      <c r="P21" s="122">
        <f t="shared" si="13"/>
        <v>-5</v>
      </c>
      <c r="Q21" s="122">
        <f t="shared" si="13"/>
        <v>-5</v>
      </c>
      <c r="R21" s="122"/>
      <c r="S21" s="122"/>
      <c r="T21" s="122"/>
      <c r="U21" s="122"/>
      <c r="V21" s="122"/>
      <c r="W21" s="122"/>
      <c r="X21" s="122"/>
      <c r="Y21" s="352"/>
      <c r="Z21" s="79"/>
      <c r="AA21" s="79"/>
      <c r="AB21" s="79"/>
      <c r="AC21" s="241"/>
      <c r="AT21" s="3">
        <f t="shared" ref="AT21:AT40" si="14">SUM(C21:AM21)</f>
        <v>-77</v>
      </c>
      <c r="AU21" s="183">
        <f>ROUND(D$15,0)-ROUND($AT21,0)</f>
        <v>0</v>
      </c>
    </row>
    <row r="22" spans="1:47" s="3" customFormat="1" x14ac:dyDescent="0.2">
      <c r="A22" s="3" t="s">
        <v>160</v>
      </c>
      <c r="B22" s="3" t="s">
        <v>187</v>
      </c>
      <c r="E22" s="3">
        <f>ROUND(+$E17,0)+1</f>
        <v>3</v>
      </c>
      <c r="F22" s="3">
        <f>ROUND(+$E17,0)+1</f>
        <v>3</v>
      </c>
      <c r="G22" s="3">
        <f>ROUND(+$E17,0)</f>
        <v>2</v>
      </c>
      <c r="H22" s="3">
        <f t="shared" ref="H22:R22" si="15">ROUND(+$E17,0)</f>
        <v>2</v>
      </c>
      <c r="I22" s="3">
        <f t="shared" si="15"/>
        <v>2</v>
      </c>
      <c r="J22" s="3">
        <f t="shared" si="15"/>
        <v>2</v>
      </c>
      <c r="K22" s="3">
        <f t="shared" si="15"/>
        <v>2</v>
      </c>
      <c r="L22" s="3">
        <f t="shared" si="15"/>
        <v>2</v>
      </c>
      <c r="M22" s="3">
        <f t="shared" si="15"/>
        <v>2</v>
      </c>
      <c r="N22" s="122">
        <f t="shared" si="15"/>
        <v>2</v>
      </c>
      <c r="O22" s="122">
        <f t="shared" si="15"/>
        <v>2</v>
      </c>
      <c r="P22" s="122">
        <f t="shared" si="15"/>
        <v>2</v>
      </c>
      <c r="Q22" s="122">
        <f t="shared" si="15"/>
        <v>2</v>
      </c>
      <c r="R22" s="122">
        <f t="shared" si="15"/>
        <v>2</v>
      </c>
      <c r="S22" s="122"/>
      <c r="T22" s="122"/>
      <c r="U22" s="122"/>
      <c r="V22" s="122"/>
      <c r="W22" s="122"/>
      <c r="X22" s="122"/>
      <c r="Y22" s="352"/>
      <c r="Z22" s="79"/>
      <c r="AA22" s="79"/>
      <c r="AB22" s="79"/>
      <c r="AC22" s="241"/>
      <c r="AT22" s="3">
        <f t="shared" si="14"/>
        <v>30</v>
      </c>
      <c r="AU22" s="183">
        <f>ROUND(E$15,0)-ROUND($AT22,0)</f>
        <v>0</v>
      </c>
    </row>
    <row r="23" spans="1:47" s="3" customFormat="1" x14ac:dyDescent="0.2">
      <c r="A23" s="3" t="s">
        <v>161</v>
      </c>
      <c r="B23" s="3" t="s">
        <v>187</v>
      </c>
      <c r="F23" s="3">
        <f>ROUND(+$F17,0)</f>
        <v>11</v>
      </c>
      <c r="G23" s="3">
        <f t="shared" ref="G23:S23" si="16">ROUND(+$F17,0)</f>
        <v>11</v>
      </c>
      <c r="H23" s="3">
        <f t="shared" si="16"/>
        <v>11</v>
      </c>
      <c r="I23" s="3">
        <f t="shared" si="16"/>
        <v>11</v>
      </c>
      <c r="J23" s="3">
        <f t="shared" si="16"/>
        <v>11</v>
      </c>
      <c r="K23" s="3">
        <f t="shared" si="16"/>
        <v>11</v>
      </c>
      <c r="L23" s="3">
        <f t="shared" si="16"/>
        <v>11</v>
      </c>
      <c r="M23" s="3">
        <f t="shared" si="16"/>
        <v>11</v>
      </c>
      <c r="N23" s="122">
        <f t="shared" si="16"/>
        <v>11</v>
      </c>
      <c r="O23" s="122">
        <f t="shared" si="16"/>
        <v>11</v>
      </c>
      <c r="P23" s="122">
        <f t="shared" si="16"/>
        <v>11</v>
      </c>
      <c r="Q23" s="122">
        <f t="shared" si="16"/>
        <v>11</v>
      </c>
      <c r="R23" s="122">
        <f t="shared" si="16"/>
        <v>11</v>
      </c>
      <c r="S23" s="122">
        <f t="shared" si="16"/>
        <v>11</v>
      </c>
      <c r="T23" s="122"/>
      <c r="U23" s="122"/>
      <c r="V23" s="122"/>
      <c r="W23" s="122"/>
      <c r="X23" s="122"/>
      <c r="Y23" s="352"/>
      <c r="Z23" s="79"/>
      <c r="AA23" s="79"/>
      <c r="AB23" s="79"/>
      <c r="AC23" s="241"/>
      <c r="AT23" s="3">
        <f t="shared" si="14"/>
        <v>154</v>
      </c>
      <c r="AU23" s="183">
        <f>ROUND(F$15,0)-ROUND($AT23,0)</f>
        <v>0</v>
      </c>
    </row>
    <row r="24" spans="1:47" s="3" customFormat="1" x14ac:dyDescent="0.2">
      <c r="A24" s="3" t="s">
        <v>162</v>
      </c>
      <c r="B24" s="3" t="s">
        <v>187</v>
      </c>
      <c r="G24" s="3">
        <f>ROUND(+$G17,0)-1</f>
        <v>20</v>
      </c>
      <c r="H24" s="3">
        <f>ROUND(+$G17,0)-1</f>
        <v>20</v>
      </c>
      <c r="I24" s="3">
        <f>ROUND(+$G17,0)</f>
        <v>21</v>
      </c>
      <c r="J24" s="3">
        <f t="shared" ref="J24:S24" si="17">ROUND(+$G17,0)</f>
        <v>21</v>
      </c>
      <c r="K24" s="3">
        <f t="shared" si="17"/>
        <v>21</v>
      </c>
      <c r="L24" s="3">
        <f t="shared" si="17"/>
        <v>21</v>
      </c>
      <c r="M24" s="3">
        <f t="shared" si="17"/>
        <v>21</v>
      </c>
      <c r="N24" s="122">
        <f t="shared" si="17"/>
        <v>21</v>
      </c>
      <c r="O24" s="122">
        <f t="shared" si="17"/>
        <v>21</v>
      </c>
      <c r="P24" s="122">
        <f t="shared" si="17"/>
        <v>21</v>
      </c>
      <c r="Q24" s="122">
        <f t="shared" si="17"/>
        <v>21</v>
      </c>
      <c r="R24" s="122">
        <f t="shared" si="17"/>
        <v>21</v>
      </c>
      <c r="S24" s="122">
        <f t="shared" si="17"/>
        <v>21</v>
      </c>
      <c r="T24" s="122"/>
      <c r="U24" s="122"/>
      <c r="V24" s="122"/>
      <c r="W24" s="122"/>
      <c r="X24" s="122"/>
      <c r="Y24" s="352"/>
      <c r="Z24" s="79"/>
      <c r="AA24" s="79"/>
      <c r="AB24" s="79"/>
      <c r="AC24" s="241"/>
      <c r="AT24" s="3">
        <f t="shared" si="14"/>
        <v>271</v>
      </c>
      <c r="AU24" s="183">
        <f>ROUND(G$15,0)-ROUND($AT24,0)</f>
        <v>0</v>
      </c>
    </row>
    <row r="25" spans="1:47" x14ac:dyDescent="0.2">
      <c r="A25" s="3" t="s">
        <v>163</v>
      </c>
      <c r="B25" s="3" t="s">
        <v>187</v>
      </c>
      <c r="H25" s="22">
        <f>ROUND(+$H17,0)-1</f>
        <v>18</v>
      </c>
      <c r="I25" s="22">
        <f>ROUND(+$H17,0)-1</f>
        <v>18</v>
      </c>
      <c r="J25" s="22">
        <f>ROUND(+$H17,0)-1</f>
        <v>18</v>
      </c>
      <c r="K25" s="22">
        <f>ROUND(+$H17,0)</f>
        <v>19</v>
      </c>
      <c r="L25" s="22">
        <f t="shared" ref="L25:T25" si="18">ROUND(+$H17,0)</f>
        <v>19</v>
      </c>
      <c r="M25" s="22">
        <f t="shared" si="18"/>
        <v>19</v>
      </c>
      <c r="N25" s="107">
        <f t="shared" si="18"/>
        <v>19</v>
      </c>
      <c r="O25" s="107">
        <f t="shared" si="18"/>
        <v>19</v>
      </c>
      <c r="P25" s="107">
        <f t="shared" si="18"/>
        <v>19</v>
      </c>
      <c r="Q25" s="107">
        <f t="shared" si="18"/>
        <v>19</v>
      </c>
      <c r="R25" s="107">
        <f t="shared" si="18"/>
        <v>19</v>
      </c>
      <c r="S25" s="107">
        <f t="shared" si="18"/>
        <v>19</v>
      </c>
      <c r="T25" s="107">
        <f t="shared" si="18"/>
        <v>19</v>
      </c>
      <c r="AT25" s="3">
        <f t="shared" si="14"/>
        <v>244</v>
      </c>
      <c r="AU25" s="183">
        <f>H$15-$AT25</f>
        <v>0</v>
      </c>
    </row>
    <row r="26" spans="1:47" x14ac:dyDescent="0.2">
      <c r="A26" s="3" t="s">
        <v>164</v>
      </c>
      <c r="B26" s="3" t="s">
        <v>187</v>
      </c>
      <c r="I26" s="22">
        <f>ROUND(+$I17,0)+1</f>
        <v>2</v>
      </c>
      <c r="J26" s="22">
        <f>ROUND(+$I17,0)+1</f>
        <v>2</v>
      </c>
      <c r="K26" s="22">
        <f>ROUND(+$I17,0)+1</f>
        <v>2</v>
      </c>
      <c r="L26" s="22">
        <f>ROUND(+$I17,0)+1</f>
        <v>2</v>
      </c>
      <c r="M26" s="22">
        <f>ROUND(+$I17,0)+1</f>
        <v>2</v>
      </c>
      <c r="N26" s="107">
        <f>ROUND(+$I17,0)</f>
        <v>1</v>
      </c>
      <c r="O26" s="107">
        <f t="shared" ref="O26:V26" si="19">ROUND(+$I17,0)</f>
        <v>1</v>
      </c>
      <c r="P26" s="107">
        <f t="shared" si="19"/>
        <v>1</v>
      </c>
      <c r="Q26" s="107">
        <f t="shared" si="19"/>
        <v>1</v>
      </c>
      <c r="R26" s="107">
        <f t="shared" si="19"/>
        <v>1</v>
      </c>
      <c r="S26" s="107">
        <f t="shared" si="19"/>
        <v>1</v>
      </c>
      <c r="T26" s="107">
        <f t="shared" si="19"/>
        <v>1</v>
      </c>
      <c r="U26" s="107">
        <f t="shared" si="19"/>
        <v>1</v>
      </c>
      <c r="V26" s="107">
        <f t="shared" si="19"/>
        <v>1</v>
      </c>
      <c r="W26" s="107"/>
      <c r="AT26" s="3">
        <f t="shared" si="14"/>
        <v>19</v>
      </c>
      <c r="AU26" s="183">
        <f>ROUND(I$15,0)-ROUND($AT26,0)</f>
        <v>0</v>
      </c>
    </row>
    <row r="27" spans="1:47" x14ac:dyDescent="0.2">
      <c r="A27" s="3" t="s">
        <v>165</v>
      </c>
      <c r="B27" s="3" t="s">
        <v>187</v>
      </c>
      <c r="J27" s="22">
        <f t="shared" ref="J27:O27" si="20">ROUND(+$J17,0)+1</f>
        <v>1</v>
      </c>
      <c r="K27" s="22">
        <f t="shared" si="20"/>
        <v>1</v>
      </c>
      <c r="L27" s="22">
        <f t="shared" si="20"/>
        <v>1</v>
      </c>
      <c r="M27" s="22">
        <f t="shared" si="20"/>
        <v>1</v>
      </c>
      <c r="N27" s="107">
        <f t="shared" si="20"/>
        <v>1</v>
      </c>
      <c r="O27" s="107">
        <f t="shared" si="20"/>
        <v>1</v>
      </c>
      <c r="P27" s="107">
        <f>ROUND(+$J17,0)</f>
        <v>0</v>
      </c>
      <c r="Q27" s="107">
        <f t="shared" ref="Q27:W27" si="21">ROUND(+$J17,0)</f>
        <v>0</v>
      </c>
      <c r="R27" s="107">
        <f t="shared" si="21"/>
        <v>0</v>
      </c>
      <c r="S27" s="107">
        <f t="shared" si="21"/>
        <v>0</v>
      </c>
      <c r="T27" s="107">
        <f t="shared" si="21"/>
        <v>0</v>
      </c>
      <c r="U27" s="107">
        <f t="shared" si="21"/>
        <v>0</v>
      </c>
      <c r="V27" s="107">
        <f t="shared" si="21"/>
        <v>0</v>
      </c>
      <c r="W27" s="107">
        <f t="shared" si="21"/>
        <v>0</v>
      </c>
      <c r="AT27" s="3">
        <f t="shared" si="14"/>
        <v>6</v>
      </c>
      <c r="AU27" s="183">
        <f>ROUND(J$15,0)-ROUND($AT27,0)</f>
        <v>0</v>
      </c>
    </row>
    <row r="28" spans="1:47" x14ac:dyDescent="0.2">
      <c r="A28" s="3" t="s">
        <v>166</v>
      </c>
      <c r="B28" s="3" t="s">
        <v>187</v>
      </c>
      <c r="K28" s="22">
        <f>ROUND(+$K17,0)+1</f>
        <v>1</v>
      </c>
      <c r="L28" s="22">
        <f>ROUND(+$K17,0)+1</f>
        <v>1</v>
      </c>
      <c r="M28" s="22">
        <f>ROUND(+$K17,0)+1</f>
        <v>1</v>
      </c>
      <c r="N28" s="107">
        <f>ROUND(+$K17,0)+1</f>
        <v>1</v>
      </c>
      <c r="O28" s="107">
        <f>ROUND(+$K17,0)</f>
        <v>0</v>
      </c>
      <c r="P28" s="107">
        <f t="shared" ref="P28:W28" si="22">ROUND(+$K17,0)</f>
        <v>0</v>
      </c>
      <c r="Q28" s="107">
        <f t="shared" si="22"/>
        <v>0</v>
      </c>
      <c r="R28" s="107">
        <f t="shared" si="22"/>
        <v>0</v>
      </c>
      <c r="S28" s="107">
        <f t="shared" si="22"/>
        <v>0</v>
      </c>
      <c r="T28" s="107">
        <f t="shared" si="22"/>
        <v>0</v>
      </c>
      <c r="U28" s="107">
        <f t="shared" si="22"/>
        <v>0</v>
      </c>
      <c r="V28" s="107">
        <f t="shared" si="22"/>
        <v>0</v>
      </c>
      <c r="W28" s="107">
        <f t="shared" si="22"/>
        <v>0</v>
      </c>
      <c r="AT28" s="3">
        <f t="shared" si="14"/>
        <v>4</v>
      </c>
      <c r="AU28" s="183">
        <f>ROUND(K$15,0)-ROUND($AT28,0)</f>
        <v>0</v>
      </c>
    </row>
    <row r="29" spans="1:47" x14ac:dyDescent="0.2">
      <c r="A29" s="3" t="s">
        <v>293</v>
      </c>
      <c r="B29" s="3" t="s">
        <v>187</v>
      </c>
      <c r="K29" s="22"/>
      <c r="L29" s="22">
        <f>ROUND(+$L17,0)+1</f>
        <v>1</v>
      </c>
      <c r="M29" s="22"/>
      <c r="N29" s="107"/>
      <c r="O29" s="107"/>
      <c r="P29" s="107"/>
      <c r="Q29" s="107"/>
      <c r="R29" s="107"/>
      <c r="S29" s="107"/>
      <c r="T29" s="107"/>
      <c r="U29" s="107"/>
      <c r="V29" s="107"/>
      <c r="W29" s="107"/>
      <c r="X29" s="107"/>
      <c r="Y29" s="356"/>
      <c r="Z29" s="85"/>
      <c r="AA29" s="85"/>
      <c r="AB29" s="85"/>
      <c r="AC29" s="247"/>
      <c r="AD29" s="22"/>
      <c r="AE29" s="22"/>
      <c r="AF29" s="22"/>
      <c r="AG29" s="22"/>
      <c r="AH29" s="22"/>
      <c r="AI29" s="22"/>
      <c r="AJ29" s="22"/>
      <c r="AK29" s="22"/>
      <c r="AL29" s="22"/>
      <c r="AM29" s="22"/>
      <c r="AN29" s="22"/>
      <c r="AO29" s="22"/>
      <c r="AP29" s="22"/>
      <c r="AQ29" s="22"/>
      <c r="AR29" s="22"/>
      <c r="AS29" s="22"/>
      <c r="AT29" s="3">
        <f t="shared" si="14"/>
        <v>1</v>
      </c>
      <c r="AU29" s="183">
        <f>ROUND(L$15,0)-ROUND($AT29,0)</f>
        <v>0</v>
      </c>
    </row>
    <row r="30" spans="1:47" x14ac:dyDescent="0.2">
      <c r="A30" s="3" t="s">
        <v>320</v>
      </c>
      <c r="B30" s="3" t="s">
        <v>187</v>
      </c>
      <c r="K30" s="22"/>
      <c r="L30" s="22"/>
      <c r="M30" s="22">
        <f>ROUND(+$M17,0)</f>
        <v>-1</v>
      </c>
      <c r="N30" s="107">
        <f>ROUND(+$M17,0)</f>
        <v>-1</v>
      </c>
      <c r="O30" s="107">
        <f>ROUND(+$M17,0)</f>
        <v>-1</v>
      </c>
      <c r="P30" s="107">
        <f>ROUND(+$M17,0)</f>
        <v>-1</v>
      </c>
      <c r="Q30" s="107">
        <f>ROUND(+$M17,0)</f>
        <v>-1</v>
      </c>
      <c r="R30" s="107">
        <f t="shared" ref="R30:W30" si="23">ROUND(+$M17,0)</f>
        <v>-1</v>
      </c>
      <c r="S30" s="107">
        <f t="shared" si="23"/>
        <v>-1</v>
      </c>
      <c r="T30" s="107">
        <f t="shared" si="23"/>
        <v>-1</v>
      </c>
      <c r="U30" s="107">
        <f t="shared" si="23"/>
        <v>-1</v>
      </c>
      <c r="V30" s="107">
        <f t="shared" si="23"/>
        <v>-1</v>
      </c>
      <c r="W30" s="107">
        <f t="shared" si="23"/>
        <v>-1</v>
      </c>
      <c r="X30" s="107"/>
      <c r="Y30" s="356"/>
      <c r="Z30" s="85"/>
      <c r="AA30" s="85"/>
      <c r="AB30" s="85"/>
      <c r="AC30" s="247"/>
      <c r="AD30" s="107"/>
      <c r="AE30" s="107"/>
      <c r="AF30" s="107"/>
      <c r="AG30" s="107"/>
      <c r="AH30" s="107"/>
      <c r="AI30" s="107"/>
      <c r="AJ30" s="107"/>
      <c r="AK30" s="107"/>
      <c r="AL30" s="107"/>
      <c r="AM30" s="107"/>
      <c r="AN30" s="107"/>
      <c r="AO30" s="107"/>
      <c r="AP30" s="107"/>
      <c r="AQ30" s="107"/>
      <c r="AR30" s="107"/>
      <c r="AS30" s="107"/>
      <c r="AT30" s="3">
        <f t="shared" si="14"/>
        <v>-11</v>
      </c>
      <c r="AU30" s="183">
        <f>ROUND(M$15,0)-ROUND($AT30,0)</f>
        <v>0</v>
      </c>
    </row>
    <row r="31" spans="1:47" s="116" customFormat="1" x14ac:dyDescent="0.2">
      <c r="A31" s="122" t="s">
        <v>321</v>
      </c>
      <c r="B31" s="122" t="s">
        <v>187</v>
      </c>
      <c r="K31" s="107"/>
      <c r="L31" s="107"/>
      <c r="M31" s="107"/>
      <c r="N31" s="107">
        <f>ROUND(+$N17,0)</f>
        <v>-1</v>
      </c>
      <c r="O31" s="107">
        <f t="shared" ref="O31:Y31" si="24">ROUND(+$N17,0)</f>
        <v>-1</v>
      </c>
      <c r="P31" s="107">
        <f t="shared" si="24"/>
        <v>-1</v>
      </c>
      <c r="Q31" s="107">
        <f t="shared" si="24"/>
        <v>-1</v>
      </c>
      <c r="R31" s="107">
        <f t="shared" si="24"/>
        <v>-1</v>
      </c>
      <c r="S31" s="107">
        <f t="shared" si="24"/>
        <v>-1</v>
      </c>
      <c r="T31" s="107">
        <f t="shared" si="24"/>
        <v>-1</v>
      </c>
      <c r="U31" s="107">
        <f t="shared" si="24"/>
        <v>-1</v>
      </c>
      <c r="V31" s="107">
        <f t="shared" si="24"/>
        <v>-1</v>
      </c>
      <c r="W31" s="107">
        <f t="shared" si="24"/>
        <v>-1</v>
      </c>
      <c r="X31" s="107">
        <f t="shared" si="24"/>
        <v>-1</v>
      </c>
      <c r="Y31" s="356">
        <f t="shared" si="24"/>
        <v>-1</v>
      </c>
      <c r="Z31" s="85">
        <f>ROUND(+$N17,0)-1</f>
        <v>-2</v>
      </c>
      <c r="AA31" s="85"/>
      <c r="AB31" s="85"/>
      <c r="AC31" s="247"/>
      <c r="AD31" s="107"/>
      <c r="AE31" s="107"/>
      <c r="AF31" s="107"/>
      <c r="AG31" s="107"/>
      <c r="AH31" s="107"/>
      <c r="AI31" s="107"/>
      <c r="AJ31" s="107"/>
      <c r="AK31" s="107"/>
      <c r="AL31" s="107"/>
      <c r="AM31" s="107"/>
      <c r="AN31" s="107"/>
      <c r="AO31" s="107"/>
      <c r="AP31" s="107"/>
      <c r="AQ31" s="107"/>
      <c r="AR31" s="107"/>
      <c r="AS31" s="107"/>
      <c r="AT31" s="3">
        <f t="shared" si="14"/>
        <v>-14</v>
      </c>
      <c r="AU31" s="183">
        <f>ROUND(N$15,0)-ROUND($AT31,0)</f>
        <v>0</v>
      </c>
    </row>
    <row r="32" spans="1:47" s="116" customFormat="1" x14ac:dyDescent="0.2">
      <c r="A32" s="122" t="s">
        <v>322</v>
      </c>
      <c r="B32" s="122" t="s">
        <v>187</v>
      </c>
      <c r="K32" s="107"/>
      <c r="L32" s="107"/>
      <c r="M32" s="107"/>
      <c r="N32" s="107"/>
      <c r="O32" s="107"/>
      <c r="P32" s="107">
        <f t="shared" ref="P32:X32" si="25">ROUND(+$O17,0)</f>
        <v>-2</v>
      </c>
      <c r="Q32" s="107">
        <f t="shared" si="25"/>
        <v>-2</v>
      </c>
      <c r="R32" s="107">
        <f t="shared" si="25"/>
        <v>-2</v>
      </c>
      <c r="S32" s="107">
        <f t="shared" si="25"/>
        <v>-2</v>
      </c>
      <c r="T32" s="107">
        <f t="shared" si="25"/>
        <v>-2</v>
      </c>
      <c r="U32" s="107">
        <f t="shared" si="25"/>
        <v>-2</v>
      </c>
      <c r="V32" s="107">
        <f t="shared" si="25"/>
        <v>-2</v>
      </c>
      <c r="W32" s="107">
        <f t="shared" si="25"/>
        <v>-2</v>
      </c>
      <c r="X32" s="107">
        <f t="shared" si="25"/>
        <v>-2</v>
      </c>
      <c r="Y32" s="356">
        <f>ROUND(+$O17,0)+1</f>
        <v>-1</v>
      </c>
      <c r="Z32" s="85">
        <f>ROUND(+$O17,0)+1</f>
        <v>-1</v>
      </c>
      <c r="AA32" s="85">
        <f>ROUND(+$O17,0)+1</f>
        <v>-1</v>
      </c>
      <c r="AB32" s="85">
        <f>ROUND(+$O17,0)+1</f>
        <v>-1</v>
      </c>
      <c r="AC32" s="247"/>
      <c r="AD32" s="107"/>
      <c r="AE32" s="107"/>
      <c r="AF32" s="107"/>
      <c r="AG32" s="107"/>
      <c r="AH32" s="107"/>
      <c r="AI32" s="107"/>
      <c r="AJ32" s="107"/>
      <c r="AK32" s="107"/>
      <c r="AL32" s="107"/>
      <c r="AM32" s="107"/>
      <c r="AN32" s="107"/>
      <c r="AO32" s="107"/>
      <c r="AP32" s="107"/>
      <c r="AQ32" s="107"/>
      <c r="AR32" s="107"/>
      <c r="AS32" s="107"/>
      <c r="AT32" s="3">
        <f t="shared" si="14"/>
        <v>-22</v>
      </c>
      <c r="AU32" s="183">
        <f>ROUND(O$15,0)-ROUND($AT32,0)</f>
        <v>0</v>
      </c>
    </row>
    <row r="33" spans="1:47" s="116" customFormat="1" x14ac:dyDescent="0.2">
      <c r="A33" s="122" t="s">
        <v>323</v>
      </c>
      <c r="B33" s="122" t="s">
        <v>187</v>
      </c>
      <c r="K33" s="107"/>
      <c r="L33" s="107"/>
      <c r="M33" s="107"/>
      <c r="N33" s="107"/>
      <c r="O33" s="107"/>
      <c r="P33" s="107"/>
      <c r="Q33" s="107">
        <f t="shared" ref="Q33:W33" si="26">ROUND(+$P17,0)</f>
        <v>-1</v>
      </c>
      <c r="R33" s="107">
        <f t="shared" si="26"/>
        <v>-1</v>
      </c>
      <c r="S33" s="107">
        <f t="shared" si="26"/>
        <v>-1</v>
      </c>
      <c r="T33" s="107">
        <f t="shared" si="26"/>
        <v>-1</v>
      </c>
      <c r="U33" s="107">
        <f t="shared" si="26"/>
        <v>-1</v>
      </c>
      <c r="V33" s="107">
        <f t="shared" si="26"/>
        <v>-1</v>
      </c>
      <c r="W33" s="107">
        <f t="shared" si="26"/>
        <v>-1</v>
      </c>
      <c r="X33" s="107"/>
      <c r="Y33" s="356"/>
      <c r="Z33" s="85"/>
      <c r="AA33" s="85"/>
      <c r="AB33" s="85"/>
      <c r="AC33" s="247"/>
      <c r="AD33" s="107"/>
      <c r="AE33" s="107"/>
      <c r="AF33" s="107"/>
      <c r="AG33" s="107"/>
      <c r="AH33" s="107"/>
      <c r="AI33" s="107"/>
      <c r="AJ33" s="107"/>
      <c r="AK33" s="107"/>
      <c r="AL33" s="107"/>
      <c r="AM33" s="107"/>
      <c r="AN33" s="107"/>
      <c r="AO33" s="107"/>
      <c r="AP33" s="107"/>
      <c r="AQ33" s="107"/>
      <c r="AR33" s="107"/>
      <c r="AS33" s="107"/>
      <c r="AT33" s="3">
        <f t="shared" si="14"/>
        <v>-7</v>
      </c>
      <c r="AU33" s="183">
        <f>ROUND(P$15,0)-ROUND($AT33,0)</f>
        <v>0</v>
      </c>
    </row>
    <row r="34" spans="1:47" s="116" customFormat="1" x14ac:dyDescent="0.2">
      <c r="A34" s="122" t="s">
        <v>324</v>
      </c>
      <c r="B34" s="122" t="s">
        <v>187</v>
      </c>
      <c r="K34" s="107"/>
      <c r="L34" s="107"/>
      <c r="M34" s="107"/>
      <c r="N34" s="107"/>
      <c r="O34" s="107"/>
      <c r="P34" s="107"/>
      <c r="Q34" s="107"/>
      <c r="R34" s="107">
        <f t="shared" ref="R34:AA34" si="27">ROUND(+$Q17,0)</f>
        <v>-9</v>
      </c>
      <c r="S34" s="107">
        <f t="shared" si="27"/>
        <v>-9</v>
      </c>
      <c r="T34" s="107">
        <f t="shared" si="27"/>
        <v>-9</v>
      </c>
      <c r="U34" s="107">
        <f t="shared" si="27"/>
        <v>-9</v>
      </c>
      <c r="V34" s="107">
        <f t="shared" si="27"/>
        <v>-9</v>
      </c>
      <c r="W34" s="107">
        <f t="shared" si="27"/>
        <v>-9</v>
      </c>
      <c r="X34" s="107">
        <f t="shared" si="27"/>
        <v>-9</v>
      </c>
      <c r="Y34" s="356">
        <f t="shared" si="27"/>
        <v>-9</v>
      </c>
      <c r="Z34" s="85">
        <f t="shared" si="27"/>
        <v>-9</v>
      </c>
      <c r="AA34" s="85">
        <f t="shared" si="27"/>
        <v>-9</v>
      </c>
      <c r="AB34" s="85">
        <f>ROUND(+$Q17,0)</f>
        <v>-9</v>
      </c>
      <c r="AC34" s="247">
        <f>ROUND(+$Q17,0)</f>
        <v>-9</v>
      </c>
      <c r="AD34" s="107">
        <f>ROUND(+$Q17,0)</f>
        <v>-9</v>
      </c>
      <c r="AE34" s="107">
        <f>ROUND(+$Q17,0)+1</f>
        <v>-8</v>
      </c>
      <c r="AF34" s="107"/>
      <c r="AG34" s="107"/>
      <c r="AH34" s="107"/>
      <c r="AI34" s="107"/>
      <c r="AJ34" s="107"/>
      <c r="AK34" s="107"/>
      <c r="AL34" s="107"/>
      <c r="AM34" s="107"/>
      <c r="AN34" s="107"/>
      <c r="AO34" s="107"/>
      <c r="AP34" s="107"/>
      <c r="AQ34" s="107"/>
      <c r="AR34" s="107"/>
      <c r="AS34" s="107"/>
      <c r="AT34" s="3">
        <f t="shared" si="14"/>
        <v>-125</v>
      </c>
      <c r="AU34" s="183">
        <f>ROUND(Q$15,0)-ROUND($AT34,0)</f>
        <v>0</v>
      </c>
    </row>
    <row r="35" spans="1:47" s="116" customFormat="1" x14ac:dyDescent="0.2">
      <c r="A35" s="122" t="s">
        <v>325</v>
      </c>
      <c r="B35" s="122" t="s">
        <v>187</v>
      </c>
      <c r="K35" s="107"/>
      <c r="L35" s="107"/>
      <c r="M35" s="107"/>
      <c r="N35" s="107"/>
      <c r="O35" s="107"/>
      <c r="P35" s="107"/>
      <c r="Q35" s="107"/>
      <c r="R35" s="107"/>
      <c r="S35" s="107">
        <f t="shared" ref="S35:AB35" si="28">ROUND(+$R17,0)</f>
        <v>-2</v>
      </c>
      <c r="T35" s="107">
        <f t="shared" si="28"/>
        <v>-2</v>
      </c>
      <c r="U35" s="107">
        <f t="shared" si="28"/>
        <v>-2</v>
      </c>
      <c r="V35" s="107">
        <f t="shared" si="28"/>
        <v>-2</v>
      </c>
      <c r="W35" s="107">
        <f t="shared" si="28"/>
        <v>-2</v>
      </c>
      <c r="X35" s="107">
        <f t="shared" si="28"/>
        <v>-2</v>
      </c>
      <c r="Y35" s="356">
        <f t="shared" si="28"/>
        <v>-2</v>
      </c>
      <c r="Z35" s="85">
        <f t="shared" si="28"/>
        <v>-2</v>
      </c>
      <c r="AA35" s="85">
        <f t="shared" si="28"/>
        <v>-2</v>
      </c>
      <c r="AB35" s="85">
        <f t="shared" si="28"/>
        <v>-2</v>
      </c>
      <c r="AC35" s="247">
        <f>ROUND(+$R17,0)</f>
        <v>-2</v>
      </c>
      <c r="AD35" s="107">
        <f>ROUND(+$R17,0)</f>
        <v>-2</v>
      </c>
      <c r="AE35" s="107">
        <f>ROUND(+$R17,0)</f>
        <v>-2</v>
      </c>
      <c r="AF35" s="107">
        <f>ROUND(+$R17,0)-6</f>
        <v>-8</v>
      </c>
      <c r="AG35" s="107"/>
      <c r="AH35" s="107"/>
      <c r="AI35" s="107"/>
      <c r="AJ35" s="107"/>
      <c r="AK35" s="107"/>
      <c r="AL35" s="107"/>
      <c r="AM35" s="107"/>
      <c r="AN35" s="107"/>
      <c r="AO35" s="107"/>
      <c r="AP35" s="107"/>
      <c r="AQ35" s="107"/>
      <c r="AR35" s="107"/>
      <c r="AS35" s="107"/>
      <c r="AT35" s="3">
        <f t="shared" si="14"/>
        <v>-34</v>
      </c>
      <c r="AU35" s="183">
        <f>ROUND(R$15,0)-ROUND($AT35,0)</f>
        <v>0</v>
      </c>
    </row>
    <row r="36" spans="1:47" s="116" customFormat="1" x14ac:dyDescent="0.2">
      <c r="A36" s="122" t="s">
        <v>334</v>
      </c>
      <c r="B36" s="122" t="s">
        <v>187</v>
      </c>
      <c r="K36" s="107"/>
      <c r="L36" s="107"/>
      <c r="M36" s="107"/>
      <c r="N36" s="107"/>
      <c r="O36" s="107"/>
      <c r="P36" s="107"/>
      <c r="Q36" s="107"/>
      <c r="R36" s="107"/>
      <c r="S36" s="107"/>
      <c r="T36" s="107">
        <f t="shared" ref="T36:AF36" si="29">ROUND(+$S17,0)</f>
        <v>-2</v>
      </c>
      <c r="U36" s="107">
        <f t="shared" si="29"/>
        <v>-2</v>
      </c>
      <c r="V36" s="107">
        <f t="shared" si="29"/>
        <v>-2</v>
      </c>
      <c r="W36" s="107">
        <f t="shared" si="29"/>
        <v>-2</v>
      </c>
      <c r="X36" s="107">
        <f t="shared" si="29"/>
        <v>-2</v>
      </c>
      <c r="Y36" s="356">
        <f t="shared" si="29"/>
        <v>-2</v>
      </c>
      <c r="Z36" s="85">
        <f t="shared" si="29"/>
        <v>-2</v>
      </c>
      <c r="AA36" s="85">
        <f t="shared" si="29"/>
        <v>-2</v>
      </c>
      <c r="AB36" s="85">
        <f t="shared" si="29"/>
        <v>-2</v>
      </c>
      <c r="AC36" s="247">
        <f t="shared" si="29"/>
        <v>-2</v>
      </c>
      <c r="AD36" s="107">
        <f t="shared" si="29"/>
        <v>-2</v>
      </c>
      <c r="AE36" s="107">
        <f t="shared" si="29"/>
        <v>-2</v>
      </c>
      <c r="AF36" s="107">
        <f t="shared" si="29"/>
        <v>-2</v>
      </c>
      <c r="AG36" s="107">
        <f>ROUND(+$S17,0)-1</f>
        <v>-3</v>
      </c>
      <c r="AH36" s="107"/>
      <c r="AI36" s="107"/>
      <c r="AJ36" s="107"/>
      <c r="AK36" s="107"/>
      <c r="AL36" s="107"/>
      <c r="AM36" s="107"/>
      <c r="AN36" s="107"/>
      <c r="AO36" s="107"/>
      <c r="AP36" s="107"/>
      <c r="AQ36" s="107"/>
      <c r="AR36" s="107"/>
      <c r="AS36" s="107"/>
      <c r="AT36" s="3">
        <f>SUM(C36:AM36)</f>
        <v>-29</v>
      </c>
      <c r="AU36" s="211">
        <f>ROUND(S$15,0)-ROUND($AT36,0)</f>
        <v>0</v>
      </c>
    </row>
    <row r="37" spans="1:47" s="116" customFormat="1" x14ac:dyDescent="0.2">
      <c r="A37" s="122" t="s">
        <v>335</v>
      </c>
      <c r="B37" s="122" t="s">
        <v>187</v>
      </c>
      <c r="K37" s="107"/>
      <c r="L37" s="107"/>
      <c r="M37" s="107"/>
      <c r="N37" s="107"/>
      <c r="O37" s="107"/>
      <c r="P37" s="107"/>
      <c r="Q37" s="107"/>
      <c r="R37" s="107"/>
      <c r="S37" s="107"/>
      <c r="T37" s="107"/>
      <c r="U37" s="107">
        <f t="shared" ref="U37:AE37" si="30">ROUND(+$T17,0)</f>
        <v>-1</v>
      </c>
      <c r="V37" s="107">
        <f t="shared" si="30"/>
        <v>-1</v>
      </c>
      <c r="W37" s="107">
        <f t="shared" si="30"/>
        <v>-1</v>
      </c>
      <c r="X37" s="107">
        <f t="shared" si="30"/>
        <v>-1</v>
      </c>
      <c r="Y37" s="356">
        <f t="shared" si="30"/>
        <v>-1</v>
      </c>
      <c r="Z37" s="85">
        <f t="shared" si="30"/>
        <v>-1</v>
      </c>
      <c r="AA37" s="85">
        <f t="shared" si="30"/>
        <v>-1</v>
      </c>
      <c r="AB37" s="85">
        <f t="shared" si="30"/>
        <v>-1</v>
      </c>
      <c r="AC37" s="247">
        <f t="shared" si="30"/>
        <v>-1</v>
      </c>
      <c r="AD37" s="107">
        <f t="shared" si="30"/>
        <v>-1</v>
      </c>
      <c r="AE37" s="107">
        <f t="shared" si="30"/>
        <v>-1</v>
      </c>
      <c r="AF37" s="107">
        <f>ROUND(+$T17,0)+1</f>
        <v>0</v>
      </c>
      <c r="AG37" s="107">
        <f>ROUND(+$T17,0)+1</f>
        <v>0</v>
      </c>
      <c r="AH37" s="107">
        <f>ROUND(+$T17,0)+1</f>
        <v>0</v>
      </c>
      <c r="AI37" s="107"/>
      <c r="AJ37" s="107"/>
      <c r="AK37" s="107"/>
      <c r="AL37" s="107"/>
      <c r="AM37" s="107"/>
      <c r="AN37" s="107"/>
      <c r="AO37" s="107"/>
      <c r="AP37" s="107"/>
      <c r="AQ37" s="107"/>
      <c r="AR37" s="107"/>
      <c r="AS37" s="107"/>
      <c r="AT37" s="122">
        <f>SUM(C37:AM37)</f>
        <v>-11</v>
      </c>
      <c r="AU37" s="211">
        <f>ROUND(T$15,0)-(ROUND($AT37,0))</f>
        <v>0</v>
      </c>
    </row>
    <row r="38" spans="1:47" s="116" customFormat="1" x14ac:dyDescent="0.2">
      <c r="A38" s="122" t="s">
        <v>339</v>
      </c>
      <c r="B38" s="122" t="s">
        <v>187</v>
      </c>
      <c r="K38" s="107"/>
      <c r="L38" s="107"/>
      <c r="M38" s="107"/>
      <c r="N38" s="107"/>
      <c r="O38" s="107"/>
      <c r="P38" s="107"/>
      <c r="Q38" s="107"/>
      <c r="R38" s="107"/>
      <c r="S38" s="107"/>
      <c r="T38" s="107"/>
      <c r="U38" s="107"/>
      <c r="V38" s="107">
        <f>ROUND(+$U17,0)</f>
        <v>-2</v>
      </c>
      <c r="W38" s="107">
        <f t="shared" ref="W38:AF38" si="31">ROUND(+$U17,0)</f>
        <v>-2</v>
      </c>
      <c r="X38" s="107">
        <f t="shared" si="31"/>
        <v>-2</v>
      </c>
      <c r="Y38" s="356">
        <f t="shared" si="31"/>
        <v>-2</v>
      </c>
      <c r="Z38" s="85">
        <f t="shared" si="31"/>
        <v>-2</v>
      </c>
      <c r="AA38" s="85">
        <f t="shared" si="31"/>
        <v>-2</v>
      </c>
      <c r="AB38" s="85">
        <f t="shared" si="31"/>
        <v>-2</v>
      </c>
      <c r="AC38" s="247">
        <f t="shared" si="31"/>
        <v>-2</v>
      </c>
      <c r="AD38" s="107">
        <f t="shared" si="31"/>
        <v>-2</v>
      </c>
      <c r="AE38" s="107">
        <f t="shared" si="31"/>
        <v>-2</v>
      </c>
      <c r="AF38" s="107">
        <f t="shared" si="31"/>
        <v>-2</v>
      </c>
      <c r="AG38" s="107">
        <f>ROUND(+$U17,0)</f>
        <v>-2</v>
      </c>
      <c r="AH38" s="107">
        <f>ROUND(+$U17,0)</f>
        <v>-2</v>
      </c>
      <c r="AI38" s="107">
        <f>ROUND(+$U17,0)</f>
        <v>-2</v>
      </c>
      <c r="AJ38" s="107">
        <f>ROUND(+$U17,0)</f>
        <v>-2</v>
      </c>
      <c r="AK38" s="107"/>
      <c r="AL38" s="107"/>
      <c r="AM38" s="107"/>
      <c r="AN38" s="107"/>
      <c r="AO38" s="107"/>
      <c r="AP38" s="107"/>
      <c r="AQ38" s="107"/>
      <c r="AR38" s="107"/>
      <c r="AS38" s="107"/>
      <c r="AT38" s="122">
        <f t="shared" si="14"/>
        <v>-30</v>
      </c>
      <c r="AU38" s="211">
        <f>ROUND(U$15,0)-ROUND($AT38,0)</f>
        <v>0</v>
      </c>
    </row>
    <row r="39" spans="1:47" s="116" customFormat="1" x14ac:dyDescent="0.2">
      <c r="A39" s="122" t="s">
        <v>351</v>
      </c>
      <c r="B39" s="122" t="s">
        <v>187</v>
      </c>
      <c r="K39" s="107"/>
      <c r="L39" s="107"/>
      <c r="M39" s="107"/>
      <c r="N39" s="107"/>
      <c r="O39" s="107"/>
      <c r="P39" s="107"/>
      <c r="Q39" s="107"/>
      <c r="R39" s="107"/>
      <c r="S39" s="107"/>
      <c r="T39" s="107"/>
      <c r="U39" s="107"/>
      <c r="V39" s="107"/>
      <c r="W39" s="372">
        <f>ROUND(+$V17,0)</f>
        <v>-3</v>
      </c>
      <c r="X39" s="107">
        <f t="shared" ref="X39:AG39" si="32">ROUND(+$V17,0)</f>
        <v>-3</v>
      </c>
      <c r="Y39" s="356">
        <f t="shared" si="32"/>
        <v>-3</v>
      </c>
      <c r="Z39" s="85">
        <f t="shared" si="32"/>
        <v>-3</v>
      </c>
      <c r="AA39" s="85">
        <f t="shared" si="32"/>
        <v>-3</v>
      </c>
      <c r="AB39" s="85">
        <f t="shared" si="32"/>
        <v>-3</v>
      </c>
      <c r="AC39" s="247">
        <f t="shared" si="32"/>
        <v>-3</v>
      </c>
      <c r="AD39" s="107">
        <f t="shared" si="32"/>
        <v>-3</v>
      </c>
      <c r="AE39" s="107">
        <f t="shared" si="32"/>
        <v>-3</v>
      </c>
      <c r="AF39" s="107">
        <f t="shared" si="32"/>
        <v>-3</v>
      </c>
      <c r="AG39" s="107">
        <f t="shared" si="32"/>
        <v>-3</v>
      </c>
      <c r="AH39" s="107">
        <f>ROUND(+$V17,0)</f>
        <v>-3</v>
      </c>
      <c r="AI39" s="320">
        <f>ROUND(+$V17,0)+1</f>
        <v>-2</v>
      </c>
      <c r="AJ39" s="320">
        <f>ROUND(+$V17,0)+1</f>
        <v>-2</v>
      </c>
      <c r="AK39" s="107"/>
      <c r="AL39" s="107"/>
      <c r="AM39" s="107"/>
      <c r="AN39" s="107"/>
      <c r="AO39" s="107"/>
      <c r="AP39" s="107"/>
      <c r="AQ39" s="107"/>
      <c r="AR39" s="107"/>
      <c r="AS39" s="107"/>
      <c r="AT39" s="122">
        <f t="shared" si="14"/>
        <v>-40</v>
      </c>
      <c r="AU39" s="211">
        <f>ROUND(V$15,0)-ROUND($AT39,0)</f>
        <v>0</v>
      </c>
    </row>
    <row r="40" spans="1:47" s="116" customFormat="1" x14ac:dyDescent="0.2">
      <c r="A40" s="122" t="s">
        <v>359</v>
      </c>
      <c r="B40" s="122" t="s">
        <v>187</v>
      </c>
      <c r="K40" s="107"/>
      <c r="L40" s="107"/>
      <c r="M40" s="107"/>
      <c r="N40" s="107"/>
      <c r="O40" s="107"/>
      <c r="P40" s="107"/>
      <c r="Q40" s="107"/>
      <c r="R40" s="107"/>
      <c r="S40" s="107"/>
      <c r="T40" s="107"/>
      <c r="U40" s="107"/>
      <c r="V40" s="107"/>
      <c r="W40" s="371"/>
      <c r="X40" s="107">
        <f t="shared" ref="X40:AG40" si="33">ROUND(+$W17,0)</f>
        <v>-3</v>
      </c>
      <c r="Y40" s="356">
        <f t="shared" si="33"/>
        <v>-3</v>
      </c>
      <c r="Z40" s="85">
        <f t="shared" si="33"/>
        <v>-3</v>
      </c>
      <c r="AA40" s="85">
        <f t="shared" si="33"/>
        <v>-3</v>
      </c>
      <c r="AB40" s="85">
        <f t="shared" si="33"/>
        <v>-3</v>
      </c>
      <c r="AC40" s="247">
        <f t="shared" si="33"/>
        <v>-3</v>
      </c>
      <c r="AD40" s="107">
        <f t="shared" si="33"/>
        <v>-3</v>
      </c>
      <c r="AE40" s="107">
        <f t="shared" si="33"/>
        <v>-3</v>
      </c>
      <c r="AF40" s="107">
        <f t="shared" si="33"/>
        <v>-3</v>
      </c>
      <c r="AG40" s="107">
        <f t="shared" si="33"/>
        <v>-3</v>
      </c>
      <c r="AH40" s="320">
        <f>ROUND(+$W17,0)+1</f>
        <v>-2</v>
      </c>
      <c r="AI40" s="320">
        <f>ROUND(+$W17,0)+1</f>
        <v>-2</v>
      </c>
      <c r="AJ40" s="320">
        <f>ROUND(+$W17,0)+1</f>
        <v>-2</v>
      </c>
      <c r="AK40" s="320">
        <f>ROUND(+$W17,0)+1</f>
        <v>-2</v>
      </c>
      <c r="AL40" s="320">
        <f>ROUND(+$W17,0)+1</f>
        <v>-2</v>
      </c>
      <c r="AM40" s="107"/>
      <c r="AN40" s="107"/>
      <c r="AO40" s="107"/>
      <c r="AP40" s="107"/>
      <c r="AQ40" s="107"/>
      <c r="AR40" s="107"/>
      <c r="AS40" s="107"/>
      <c r="AT40" s="122">
        <f t="shared" si="14"/>
        <v>-40</v>
      </c>
      <c r="AU40" s="211">
        <f>ROUND(W$15,0)-ROUND($AT40,0)</f>
        <v>0</v>
      </c>
    </row>
    <row r="41" spans="1:47" s="405" customFormat="1" x14ac:dyDescent="0.2">
      <c r="A41" s="404" t="s">
        <v>361</v>
      </c>
      <c r="B41" s="404" t="s">
        <v>187</v>
      </c>
      <c r="K41" s="406"/>
      <c r="L41" s="406"/>
      <c r="M41" s="406"/>
      <c r="N41" s="406"/>
      <c r="O41" s="406"/>
      <c r="P41" s="406"/>
      <c r="Q41" s="406"/>
      <c r="R41" s="406"/>
      <c r="S41" s="406"/>
      <c r="T41" s="406"/>
      <c r="U41" s="406"/>
      <c r="V41" s="406"/>
      <c r="W41" s="407"/>
      <c r="X41" s="107"/>
      <c r="Y41" s="406">
        <f>ROUND(+$X17,0)</f>
        <v>-3</v>
      </c>
      <c r="Z41" s="406">
        <f t="shared" ref="Z41:AI41" si="34">ROUND(+$X17,0)</f>
        <v>-3</v>
      </c>
      <c r="AA41" s="406">
        <f t="shared" si="34"/>
        <v>-3</v>
      </c>
      <c r="AB41" s="406">
        <f t="shared" si="34"/>
        <v>-3</v>
      </c>
      <c r="AC41" s="406">
        <f t="shared" si="34"/>
        <v>-3</v>
      </c>
      <c r="AD41" s="406">
        <f t="shared" si="34"/>
        <v>-3</v>
      </c>
      <c r="AE41" s="406">
        <f t="shared" si="34"/>
        <v>-3</v>
      </c>
      <c r="AF41" s="406">
        <f t="shared" si="34"/>
        <v>-3</v>
      </c>
      <c r="AG41" s="406">
        <f t="shared" si="34"/>
        <v>-3</v>
      </c>
      <c r="AH41" s="406">
        <f t="shared" si="34"/>
        <v>-3</v>
      </c>
      <c r="AI41" s="406">
        <f t="shared" si="34"/>
        <v>-3</v>
      </c>
      <c r="AJ41" s="406">
        <f>ROUND(+$X17,0)</f>
        <v>-3</v>
      </c>
      <c r="AK41" s="406">
        <f>ROUND(+$X17,0)</f>
        <v>-3</v>
      </c>
      <c r="AL41" s="412">
        <f>ROUND(+$X17,0)+1</f>
        <v>-2</v>
      </c>
      <c r="AM41" s="412">
        <f>ROUND(+$X17,0)+1</f>
        <v>-2</v>
      </c>
      <c r="AN41" s="406"/>
      <c r="AO41" s="406"/>
      <c r="AP41" s="406"/>
      <c r="AQ41" s="406"/>
      <c r="AR41" s="406"/>
      <c r="AS41" s="406"/>
      <c r="AT41" s="404">
        <f>SUM(C41:AM41)</f>
        <v>-43</v>
      </c>
      <c r="AU41" s="408">
        <f>ROUND(X$15,0)-ROUND($AT41,0)</f>
        <v>0</v>
      </c>
    </row>
    <row r="42" spans="1:47" s="76" customFormat="1" x14ac:dyDescent="0.2">
      <c r="A42" s="238" t="s">
        <v>364</v>
      </c>
      <c r="B42" s="79" t="s">
        <v>187</v>
      </c>
      <c r="K42" s="85"/>
      <c r="L42" s="85"/>
      <c r="M42" s="85"/>
      <c r="N42" s="85"/>
      <c r="O42" s="85"/>
      <c r="P42" s="85"/>
      <c r="Q42" s="85"/>
      <c r="R42" s="85"/>
      <c r="S42" s="85"/>
      <c r="T42" s="85"/>
      <c r="U42" s="85"/>
      <c r="V42" s="85"/>
      <c r="W42" s="85"/>
      <c r="X42" s="107"/>
      <c r="Y42" s="356"/>
      <c r="Z42" s="85">
        <f>ROUND($Y17,0)</f>
        <v>-2</v>
      </c>
      <c r="AA42" s="85">
        <f t="shared" ref="AA42:AI42" si="35">ROUND($Y17,0)</f>
        <v>-2</v>
      </c>
      <c r="AB42" s="85">
        <f t="shared" si="35"/>
        <v>-2</v>
      </c>
      <c r="AC42" s="247">
        <f t="shared" si="35"/>
        <v>-2</v>
      </c>
      <c r="AD42" s="85">
        <f t="shared" si="35"/>
        <v>-2</v>
      </c>
      <c r="AE42" s="85">
        <f t="shared" si="35"/>
        <v>-2</v>
      </c>
      <c r="AF42" s="85">
        <f t="shared" si="35"/>
        <v>-2</v>
      </c>
      <c r="AG42" s="85">
        <f t="shared" si="35"/>
        <v>-2</v>
      </c>
      <c r="AH42" s="85">
        <f t="shared" si="35"/>
        <v>-2</v>
      </c>
      <c r="AI42" s="85">
        <f t="shared" si="35"/>
        <v>-2</v>
      </c>
      <c r="AJ42" s="411">
        <f>ROUND($Y17,0)</f>
        <v>-2</v>
      </c>
      <c r="AK42" s="411">
        <f>ROUND($Y17,0)+1</f>
        <v>-1</v>
      </c>
      <c r="AL42" s="411">
        <f>ROUND($Y17,0)+1</f>
        <v>-1</v>
      </c>
      <c r="AM42" s="411">
        <f>ROUND($Y17,0)+1</f>
        <v>-1</v>
      </c>
      <c r="AN42" s="411">
        <f>ROUND($Y17,0)+1</f>
        <v>-1</v>
      </c>
      <c r="AO42" s="411"/>
      <c r="AP42" s="85"/>
      <c r="AQ42" s="85"/>
      <c r="AR42" s="85"/>
      <c r="AS42" s="85"/>
      <c r="AT42" s="79">
        <f t="shared" ref="AT42:AT45" si="36">SUM(R42:AS42)</f>
        <v>-26</v>
      </c>
      <c r="AU42" s="185">
        <f>ROUND(Y$15,0)-ROUND($AT42,0)</f>
        <v>1</v>
      </c>
    </row>
    <row r="43" spans="1:47" s="76" customFormat="1" x14ac:dyDescent="0.2">
      <c r="A43" s="238" t="s">
        <v>370</v>
      </c>
      <c r="B43" s="238" t="s">
        <v>187</v>
      </c>
      <c r="K43" s="85"/>
      <c r="L43" s="85"/>
      <c r="M43" s="85"/>
      <c r="N43" s="85"/>
      <c r="O43" s="85"/>
      <c r="P43" s="85"/>
      <c r="Q43" s="85"/>
      <c r="R43" s="85"/>
      <c r="S43" s="85"/>
      <c r="T43" s="85"/>
      <c r="U43" s="85"/>
      <c r="V43" s="85"/>
      <c r="W43" s="85"/>
      <c r="X43" s="107"/>
      <c r="Y43" s="356"/>
      <c r="Z43" s="85"/>
      <c r="AA43" s="85">
        <f>$Z$17</f>
        <v>-1.5262835319386376</v>
      </c>
      <c r="AB43" s="85">
        <f t="shared" ref="AB43:AO43" si="37">$Z$17</f>
        <v>-1.5262835319386376</v>
      </c>
      <c r="AC43" s="247">
        <f t="shared" si="37"/>
        <v>-1.5262835319386376</v>
      </c>
      <c r="AD43" s="85">
        <f t="shared" si="37"/>
        <v>-1.5262835319386376</v>
      </c>
      <c r="AE43" s="85">
        <f t="shared" si="37"/>
        <v>-1.5262835319386376</v>
      </c>
      <c r="AF43" s="85">
        <f t="shared" si="37"/>
        <v>-1.5262835319386376</v>
      </c>
      <c r="AG43" s="85">
        <f t="shared" si="37"/>
        <v>-1.5262835319386376</v>
      </c>
      <c r="AH43" s="85">
        <f t="shared" si="37"/>
        <v>-1.5262835319386376</v>
      </c>
      <c r="AI43" s="85">
        <f t="shared" si="37"/>
        <v>-1.5262835319386376</v>
      </c>
      <c r="AJ43" s="85">
        <f t="shared" si="37"/>
        <v>-1.5262835319386376</v>
      </c>
      <c r="AK43" s="85">
        <f t="shared" si="37"/>
        <v>-1.5262835319386376</v>
      </c>
      <c r="AL43" s="85">
        <f t="shared" si="37"/>
        <v>-1.5262835319386376</v>
      </c>
      <c r="AM43" s="85">
        <f t="shared" si="37"/>
        <v>-1.5262835319386376</v>
      </c>
      <c r="AN43" s="85">
        <f t="shared" si="37"/>
        <v>-1.5262835319386376</v>
      </c>
      <c r="AO43" s="85">
        <f t="shared" si="37"/>
        <v>-1.5262835319386376</v>
      </c>
      <c r="AP43" s="85"/>
      <c r="AQ43" s="85"/>
      <c r="AR43" s="85"/>
      <c r="AS43" s="85"/>
      <c r="AT43" s="79">
        <f t="shared" si="36"/>
        <v>-22.894252979079571</v>
      </c>
      <c r="AU43" s="185">
        <f>contributions!Z15-AT43</f>
        <v>-0.4578850595815851</v>
      </c>
    </row>
    <row r="44" spans="1:47" s="76" customFormat="1" x14ac:dyDescent="0.2">
      <c r="A44" s="401" t="s">
        <v>372</v>
      </c>
      <c r="B44" s="401" t="s">
        <v>187</v>
      </c>
      <c r="C44" s="402"/>
      <c r="D44" s="402"/>
      <c r="E44" s="402"/>
      <c r="F44" s="402"/>
      <c r="G44" s="402"/>
      <c r="H44" s="402"/>
      <c r="I44" s="402"/>
      <c r="J44" s="402"/>
      <c r="K44" s="403"/>
      <c r="L44" s="403"/>
      <c r="M44" s="403"/>
      <c r="N44" s="403"/>
      <c r="O44" s="403"/>
      <c r="P44" s="403"/>
      <c r="Q44" s="403"/>
      <c r="R44" s="403"/>
      <c r="S44" s="403"/>
      <c r="T44" s="403"/>
      <c r="U44" s="85"/>
      <c r="V44" s="85"/>
      <c r="W44" s="85"/>
      <c r="X44" s="107"/>
      <c r="Y44" s="356"/>
      <c r="Z44" s="85"/>
      <c r="AA44" s="85"/>
      <c r="AB44" s="85">
        <f>$AA$17</f>
        <v>-1.5469464668055755</v>
      </c>
      <c r="AC44" s="247">
        <f t="shared" ref="AC44:AP44" si="38">$AA$17</f>
        <v>-1.5469464668055755</v>
      </c>
      <c r="AD44" s="85">
        <f t="shared" si="38"/>
        <v>-1.5469464668055755</v>
      </c>
      <c r="AE44" s="85">
        <f t="shared" si="38"/>
        <v>-1.5469464668055755</v>
      </c>
      <c r="AF44" s="85">
        <f t="shared" si="38"/>
        <v>-1.5469464668055755</v>
      </c>
      <c r="AG44" s="85">
        <f t="shared" si="38"/>
        <v>-1.5469464668055755</v>
      </c>
      <c r="AH44" s="85">
        <f t="shared" si="38"/>
        <v>-1.5469464668055755</v>
      </c>
      <c r="AI44" s="85">
        <f t="shared" si="38"/>
        <v>-1.5469464668055755</v>
      </c>
      <c r="AJ44" s="85">
        <f t="shared" si="38"/>
        <v>-1.5469464668055755</v>
      </c>
      <c r="AK44" s="85">
        <f t="shared" si="38"/>
        <v>-1.5469464668055755</v>
      </c>
      <c r="AL44" s="85">
        <f t="shared" si="38"/>
        <v>-1.5469464668055755</v>
      </c>
      <c r="AM44" s="85">
        <f t="shared" si="38"/>
        <v>-1.5469464668055755</v>
      </c>
      <c r="AN44" s="85">
        <f t="shared" si="38"/>
        <v>-1.5469464668055755</v>
      </c>
      <c r="AO44" s="85">
        <f t="shared" si="38"/>
        <v>-1.5469464668055755</v>
      </c>
      <c r="AP44" s="85">
        <f t="shared" si="38"/>
        <v>-1.5469464668055755</v>
      </c>
      <c r="AQ44" s="85"/>
      <c r="AR44" s="85"/>
      <c r="AS44" s="85"/>
      <c r="AT44" s="79">
        <f t="shared" si="36"/>
        <v>-23.204197002083632</v>
      </c>
      <c r="AU44" s="185">
        <f>contributions!AA15-AT44</f>
        <v>-0.46408394004167519</v>
      </c>
    </row>
    <row r="45" spans="1:47" s="76" customFormat="1" x14ac:dyDescent="0.2">
      <c r="A45" s="401" t="s">
        <v>419</v>
      </c>
      <c r="B45" s="401" t="s">
        <v>418</v>
      </c>
      <c r="K45" s="85"/>
      <c r="L45" s="85"/>
      <c r="M45" s="85"/>
      <c r="N45" s="85"/>
      <c r="O45" s="85"/>
      <c r="P45" s="85"/>
      <c r="Q45" s="85"/>
      <c r="R45" s="85"/>
      <c r="S45" s="85"/>
      <c r="T45" s="85"/>
      <c r="U45" s="85"/>
      <c r="V45" s="85"/>
      <c r="W45" s="85"/>
      <c r="X45" s="107"/>
      <c r="Y45" s="356"/>
      <c r="Z45" s="85"/>
      <c r="AA45" s="85"/>
      <c r="AB45" s="85"/>
      <c r="AC45" s="247">
        <f>$AB$17</f>
        <v>-1.5655164988873063</v>
      </c>
      <c r="AD45" s="85">
        <f t="shared" ref="AD45:AO45" si="39">$AB$17</f>
        <v>-1.5655164988873063</v>
      </c>
      <c r="AE45" s="85">
        <f t="shared" si="39"/>
        <v>-1.5655164988873063</v>
      </c>
      <c r="AF45" s="85">
        <f t="shared" si="39"/>
        <v>-1.5655164988873063</v>
      </c>
      <c r="AG45" s="85">
        <f t="shared" si="39"/>
        <v>-1.5655164988873063</v>
      </c>
      <c r="AH45" s="85">
        <f t="shared" si="39"/>
        <v>-1.5655164988873063</v>
      </c>
      <c r="AI45" s="85">
        <f t="shared" si="39"/>
        <v>-1.5655164988873063</v>
      </c>
      <c r="AJ45" s="85">
        <f t="shared" si="39"/>
        <v>-1.5655164988873063</v>
      </c>
      <c r="AK45" s="85">
        <f t="shared" si="39"/>
        <v>-1.5655164988873063</v>
      </c>
      <c r="AL45" s="85">
        <f t="shared" si="39"/>
        <v>-1.5655164988873063</v>
      </c>
      <c r="AM45" s="85">
        <f t="shared" si="39"/>
        <v>-1.5655164988873063</v>
      </c>
      <c r="AN45" s="85">
        <f t="shared" si="39"/>
        <v>-1.5655164988873063</v>
      </c>
      <c r="AO45" s="85">
        <f t="shared" si="39"/>
        <v>-1.5655164988873063</v>
      </c>
      <c r="AP45" s="85">
        <f>$AB$17</f>
        <v>-1.5655164988873063</v>
      </c>
      <c r="AQ45" s="85">
        <f>$AB$17</f>
        <v>-1.5655164988873063</v>
      </c>
      <c r="AR45" s="85"/>
      <c r="AS45" s="85"/>
      <c r="AT45" s="79">
        <f t="shared" si="36"/>
        <v>-23.482747483309588</v>
      </c>
      <c r="AU45" s="185">
        <f>contributions!AB15-AT45</f>
        <v>-0.46965494966620014</v>
      </c>
    </row>
    <row r="46" spans="1:47" s="76" customFormat="1" x14ac:dyDescent="0.2">
      <c r="A46" s="226" t="s">
        <v>446</v>
      </c>
      <c r="B46" s="226" t="s">
        <v>418</v>
      </c>
      <c r="K46" s="85"/>
      <c r="L46" s="85"/>
      <c r="M46" s="85"/>
      <c r="N46" s="85"/>
      <c r="O46" s="85"/>
      <c r="P46" s="85"/>
      <c r="Q46" s="85"/>
      <c r="R46" s="85"/>
      <c r="S46" s="85"/>
      <c r="T46" s="85"/>
      <c r="U46" s="85"/>
      <c r="V46" s="85"/>
      <c r="W46" s="85"/>
      <c r="X46" s="107"/>
      <c r="Y46" s="356"/>
      <c r="Z46" s="85"/>
      <c r="AA46" s="85"/>
      <c r="AB46" s="85"/>
      <c r="AC46" s="247"/>
      <c r="AD46" s="85">
        <f>$AC$17</f>
        <v>-1.5847300497012689</v>
      </c>
      <c r="AE46" s="85">
        <f t="shared" ref="AE46:AQ46" si="40">$AC$17</f>
        <v>-1.5847300497012689</v>
      </c>
      <c r="AF46" s="85">
        <f t="shared" si="40"/>
        <v>-1.5847300497012689</v>
      </c>
      <c r="AG46" s="85">
        <f t="shared" si="40"/>
        <v>-1.5847300497012689</v>
      </c>
      <c r="AH46" s="85">
        <f t="shared" si="40"/>
        <v>-1.5847300497012689</v>
      </c>
      <c r="AI46" s="85">
        <f t="shared" si="40"/>
        <v>-1.5847300497012689</v>
      </c>
      <c r="AJ46" s="85">
        <f t="shared" si="40"/>
        <v>-1.5847300497012689</v>
      </c>
      <c r="AK46" s="85">
        <f t="shared" si="40"/>
        <v>-1.5847300497012689</v>
      </c>
      <c r="AL46" s="85">
        <f t="shared" si="40"/>
        <v>-1.5847300497012689</v>
      </c>
      <c r="AM46" s="85">
        <f t="shared" si="40"/>
        <v>-1.5847300497012689</v>
      </c>
      <c r="AN46" s="85">
        <f t="shared" si="40"/>
        <v>-1.5847300497012689</v>
      </c>
      <c r="AO46" s="85">
        <f t="shared" si="40"/>
        <v>-1.5847300497012689</v>
      </c>
      <c r="AP46" s="85">
        <f t="shared" si="40"/>
        <v>-1.5847300497012689</v>
      </c>
      <c r="AQ46" s="85">
        <f t="shared" si="40"/>
        <v>-1.5847300497012689</v>
      </c>
      <c r="AR46" s="85">
        <f>$AC$17</f>
        <v>-1.5847300497012689</v>
      </c>
      <c r="AS46" s="85"/>
      <c r="AT46" s="79">
        <f>SUM(R46:AS46)</f>
        <v>-23.770950745519031</v>
      </c>
      <c r="AU46" s="185">
        <f>contributions!AC15-AT46</f>
        <v>-0.47541901491038274</v>
      </c>
    </row>
    <row r="47" spans="1:47" s="18" customFormat="1" ht="15.75" x14ac:dyDescent="0.25">
      <c r="A47" s="18" t="s">
        <v>167</v>
      </c>
      <c r="C47" s="43">
        <f>SUM(C20:C43)</f>
        <v>-10</v>
      </c>
      <c r="D47" s="43">
        <f t="shared" ref="D47:Z47" si="41">SUM(D20:D43)</f>
        <v>-16</v>
      </c>
      <c r="E47" s="43">
        <f t="shared" si="41"/>
        <v>-13</v>
      </c>
      <c r="F47" s="43">
        <f t="shared" si="41"/>
        <v>-1</v>
      </c>
      <c r="G47" s="43">
        <f t="shared" si="41"/>
        <v>18</v>
      </c>
      <c r="H47" s="43">
        <f t="shared" si="41"/>
        <v>36</v>
      </c>
      <c r="I47" s="43">
        <f t="shared" si="41"/>
        <v>39</v>
      </c>
      <c r="J47" s="43">
        <f t="shared" si="41"/>
        <v>40</v>
      </c>
      <c r="K47" s="43">
        <f t="shared" si="41"/>
        <v>43</v>
      </c>
      <c r="L47" s="43">
        <f t="shared" si="41"/>
        <v>44</v>
      </c>
      <c r="M47" s="43">
        <f t="shared" si="41"/>
        <v>42</v>
      </c>
      <c r="N47" s="142">
        <f t="shared" si="41"/>
        <v>40</v>
      </c>
      <c r="O47" s="142">
        <f t="shared" si="41"/>
        <v>39</v>
      </c>
      <c r="P47" s="142">
        <f t="shared" si="41"/>
        <v>36</v>
      </c>
      <c r="Q47" s="142">
        <f t="shared" si="41"/>
        <v>44</v>
      </c>
      <c r="R47" s="142">
        <f t="shared" si="41"/>
        <v>40</v>
      </c>
      <c r="S47" s="142">
        <f t="shared" si="41"/>
        <v>36</v>
      </c>
      <c r="T47" s="142">
        <f>SUM(T20:T43)</f>
        <v>2</v>
      </c>
      <c r="U47" s="142">
        <f t="shared" si="41"/>
        <v>-18</v>
      </c>
      <c r="V47" s="142">
        <f t="shared" si="41"/>
        <v>-20</v>
      </c>
      <c r="W47" s="142">
        <f t="shared" si="41"/>
        <v>-24</v>
      </c>
      <c r="X47" s="142">
        <f t="shared" si="41"/>
        <v>-25</v>
      </c>
      <c r="Y47" s="370">
        <f t="shared" si="41"/>
        <v>-27</v>
      </c>
      <c r="Z47" s="96">
        <f t="shared" si="41"/>
        <v>-30</v>
      </c>
      <c r="AA47" s="96">
        <f>SUM(AA20:AA44)</f>
        <v>-29.526283531938638</v>
      </c>
      <c r="AB47" s="96">
        <f>SUM(AB20:AB45)</f>
        <v>-31.073229998744214</v>
      </c>
      <c r="AC47" s="264">
        <f t="shared" ref="AC47" si="42">SUM(AC20:AC45)</f>
        <v>-31.638746497631519</v>
      </c>
      <c r="AD47" s="43">
        <f>SUM(AD20:AD46)</f>
        <v>-33.223476547332787</v>
      </c>
      <c r="AE47" s="43">
        <f t="shared" ref="AE47:AS47" si="43">SUM(AE20:AE46)</f>
        <v>-32.223476547332787</v>
      </c>
      <c r="AF47" s="43">
        <f t="shared" si="43"/>
        <v>-29.223476547332787</v>
      </c>
      <c r="AG47" s="43">
        <f t="shared" si="43"/>
        <v>-22.223476547332787</v>
      </c>
      <c r="AH47" s="43">
        <f t="shared" si="43"/>
        <v>-18.223476547332787</v>
      </c>
      <c r="AI47" s="43">
        <f t="shared" si="43"/>
        <v>-17.223476547332787</v>
      </c>
      <c r="AJ47" s="43">
        <f t="shared" si="43"/>
        <v>-17.223476547332787</v>
      </c>
      <c r="AK47" s="43">
        <f>SUM(AK20:AK46)</f>
        <v>-12.223476547332789</v>
      </c>
      <c r="AL47" s="43">
        <f t="shared" si="43"/>
        <v>-11.223476547332789</v>
      </c>
      <c r="AM47" s="43">
        <f t="shared" si="43"/>
        <v>-9.2234765473327887</v>
      </c>
      <c r="AN47" s="43">
        <f t="shared" si="43"/>
        <v>-7.2234765473327887</v>
      </c>
      <c r="AO47" s="43">
        <f t="shared" si="43"/>
        <v>-6.2234765473327887</v>
      </c>
      <c r="AP47" s="43">
        <f t="shared" si="43"/>
        <v>-4.6971930153941504</v>
      </c>
      <c r="AQ47" s="43">
        <f t="shared" si="43"/>
        <v>-3.1502465485885751</v>
      </c>
      <c r="AR47" s="43">
        <f t="shared" si="43"/>
        <v>-1.5847300497012689</v>
      </c>
      <c r="AS47" s="43">
        <f t="shared" si="43"/>
        <v>0</v>
      </c>
      <c r="AU47" s="185"/>
    </row>
    <row r="49" spans="1:47" x14ac:dyDescent="0.2">
      <c r="A49" s="28" t="s">
        <v>188</v>
      </c>
    </row>
    <row r="50" spans="1:47" x14ac:dyDescent="0.2">
      <c r="A50" t="s">
        <v>189</v>
      </c>
      <c r="C50" s="22">
        <f>SUM($C$15:C15)</f>
        <v>-128.5</v>
      </c>
      <c r="D50" s="22">
        <f>SUM($C$15:D15)</f>
        <v>-205</v>
      </c>
      <c r="E50" s="22">
        <f>SUM($C$15:E15)</f>
        <v>-175</v>
      </c>
      <c r="F50" s="22">
        <f>SUM($C$15:F15)</f>
        <v>-21.5</v>
      </c>
      <c r="G50" s="22">
        <f>SUM($C$15:G15)</f>
        <v>249.5</v>
      </c>
      <c r="H50" s="22">
        <f>SUM($C$15:H15)</f>
        <v>493.5</v>
      </c>
      <c r="I50" s="22">
        <f>SUM($C$15:I15)</f>
        <v>512.5</v>
      </c>
      <c r="J50" s="22">
        <f>SUM($C$15:J15)</f>
        <v>518</v>
      </c>
      <c r="K50" s="22">
        <f>SUM($C$15:K15)</f>
        <v>521.51718499999993</v>
      </c>
      <c r="L50" s="22">
        <f>SUM($C$15:L15)</f>
        <v>522.138598</v>
      </c>
      <c r="M50" s="22">
        <f>SUM($C$15:M15)</f>
        <v>511.1101855</v>
      </c>
      <c r="N50" s="107">
        <f>SUM($C$15:N15)</f>
        <v>496.68200250000001</v>
      </c>
      <c r="O50" s="107">
        <f>SUM($C$15:O15)</f>
        <v>474.78676899999999</v>
      </c>
      <c r="P50" s="107">
        <f>SUM($C$15:P15)</f>
        <v>467.8452135</v>
      </c>
      <c r="Q50" s="107">
        <f>SUM($C$15:Q15)</f>
        <v>342.45254799999998</v>
      </c>
      <c r="R50" s="107">
        <f>SUM($C$15:R15)</f>
        <v>308.45254799999998</v>
      </c>
      <c r="S50" s="107">
        <f>SUM($C$15:S15)</f>
        <v>279.73762699999997</v>
      </c>
      <c r="T50" s="107">
        <f>SUM($C$15:T15)</f>
        <v>268.77113142857144</v>
      </c>
      <c r="U50" s="107">
        <f>SUM($C$15:U15)</f>
        <v>239.17760992857148</v>
      </c>
      <c r="V50" s="107">
        <f>SUM($C$15:V15)</f>
        <v>198.84797685714295</v>
      </c>
      <c r="W50" s="107">
        <f>SUM($C$15:W15)</f>
        <v>158.725951357143</v>
      </c>
      <c r="X50" s="107">
        <f>SUM($C$15:X15)</f>
        <v>116.12628685714299</v>
      </c>
      <c r="Y50" s="356">
        <f>SUM($C$15:Y15)</f>
        <v>90.745330507142967</v>
      </c>
      <c r="Z50" s="85">
        <f>SUM($C$15:Z15)</f>
        <v>67.393192468481814</v>
      </c>
      <c r="AA50" s="85">
        <f>SUM($C$15:AA15)</f>
        <v>43.724911526356507</v>
      </c>
      <c r="AB50" s="85">
        <f>SUM($C$15:AB15)</f>
        <v>19.772509093380719</v>
      </c>
      <c r="AC50" s="247">
        <f>SUM($C$15:AC15)</f>
        <v>-4.4738606670486938</v>
      </c>
    </row>
    <row r="51" spans="1:47" x14ac:dyDescent="0.2">
      <c r="A51" t="s">
        <v>190</v>
      </c>
      <c r="C51" s="38">
        <f>SUM($C$47:C47)</f>
        <v>-10</v>
      </c>
      <c r="D51" s="38">
        <f>SUM($C$47:D47)</f>
        <v>-26</v>
      </c>
      <c r="E51" s="38">
        <f>SUM($C$47:E47)</f>
        <v>-39</v>
      </c>
      <c r="F51" s="38">
        <f>SUM($C$47:F47)</f>
        <v>-40</v>
      </c>
      <c r="G51" s="38">
        <f>SUM($C$47:G47)</f>
        <v>-22</v>
      </c>
      <c r="H51" s="38">
        <f>SUM($C$47:H47)</f>
        <v>14</v>
      </c>
      <c r="I51" s="38">
        <f>SUM($C$47:I47)</f>
        <v>53</v>
      </c>
      <c r="J51" s="38">
        <f>SUM($C$47:J47)</f>
        <v>93</v>
      </c>
      <c r="K51" s="38">
        <f>SUM($C$47:K47)</f>
        <v>136</v>
      </c>
      <c r="L51" s="38">
        <f>SUM($C$47:L47)</f>
        <v>180</v>
      </c>
      <c r="M51" s="38">
        <f>SUM($C$47:M47)</f>
        <v>222</v>
      </c>
      <c r="N51" s="138">
        <f>SUM($C$47:N47)</f>
        <v>262</v>
      </c>
      <c r="O51" s="138">
        <f>SUM($C$47:O47)</f>
        <v>301</v>
      </c>
      <c r="P51" s="138">
        <f>SUM($C$47:P47)</f>
        <v>337</v>
      </c>
      <c r="Q51" s="138">
        <f>SUM($C$47:Q47)</f>
        <v>381</v>
      </c>
      <c r="R51" s="138">
        <f>SUM($C$47:R47)</f>
        <v>421</v>
      </c>
      <c r="S51" s="138">
        <f>SUM($C$47:S47)</f>
        <v>457</v>
      </c>
      <c r="T51" s="138">
        <f>SUM($C$47:T47)</f>
        <v>459</v>
      </c>
      <c r="U51" s="138">
        <f>SUM($C$47:U47)</f>
        <v>441</v>
      </c>
      <c r="V51" s="138">
        <f>SUM($C$47:V47)</f>
        <v>421</v>
      </c>
      <c r="W51" s="138">
        <f>SUM($C$47:W47)</f>
        <v>397</v>
      </c>
      <c r="X51" s="138">
        <f>SUM($C$47:X47)</f>
        <v>372</v>
      </c>
      <c r="Y51" s="363">
        <f>SUM($C$47:Y47)</f>
        <v>345</v>
      </c>
      <c r="Z51" s="92">
        <f>SUM($C$47:Z47)</f>
        <v>315</v>
      </c>
      <c r="AA51" s="92">
        <f>SUM($C$47:AA47)</f>
        <v>285.47371646806135</v>
      </c>
      <c r="AB51" s="92">
        <f>SUM($C$47:AB47)</f>
        <v>254.40048646931714</v>
      </c>
      <c r="AC51" s="255">
        <f>SUM($C$47:AC47)</f>
        <v>222.76173997168561</v>
      </c>
    </row>
    <row r="52" spans="1:47" s="18" customFormat="1" ht="15.75" x14ac:dyDescent="0.25">
      <c r="A52" s="18" t="s">
        <v>191</v>
      </c>
      <c r="C52" s="43">
        <f>C50-C51</f>
        <v>-118.5</v>
      </c>
      <c r="D52" s="43">
        <f t="shared" ref="D52:N52" si="44">D50-D51</f>
        <v>-179</v>
      </c>
      <c r="E52" s="43">
        <f t="shared" si="44"/>
        <v>-136</v>
      </c>
      <c r="F52" s="43">
        <f t="shared" si="44"/>
        <v>18.5</v>
      </c>
      <c r="G52" s="43">
        <f t="shared" si="44"/>
        <v>271.5</v>
      </c>
      <c r="H52" s="43">
        <f t="shared" si="44"/>
        <v>479.5</v>
      </c>
      <c r="I52" s="43">
        <f t="shared" si="44"/>
        <v>459.5</v>
      </c>
      <c r="J52" s="43">
        <f t="shared" si="44"/>
        <v>425</v>
      </c>
      <c r="K52" s="43">
        <f t="shared" si="44"/>
        <v>385.51718499999993</v>
      </c>
      <c r="L52" s="43">
        <f t="shared" si="44"/>
        <v>342.138598</v>
      </c>
      <c r="M52" s="43">
        <f t="shared" si="44"/>
        <v>289.1101855</v>
      </c>
      <c r="N52" s="142">
        <f t="shared" si="44"/>
        <v>234.68200250000001</v>
      </c>
      <c r="O52" s="142">
        <f t="shared" ref="O52:V52" si="45">O50-O51</f>
        <v>173.78676899999999</v>
      </c>
      <c r="P52" s="142">
        <f t="shared" si="45"/>
        <v>130.8452135</v>
      </c>
      <c r="Q52" s="142">
        <f t="shared" si="45"/>
        <v>-38.547452000000021</v>
      </c>
      <c r="R52" s="142">
        <f t="shared" si="45"/>
        <v>-112.54745200000002</v>
      </c>
      <c r="S52" s="142">
        <f t="shared" si="45"/>
        <v>-177.26237300000003</v>
      </c>
      <c r="T52" s="142">
        <f t="shared" si="45"/>
        <v>-190.22886857142856</v>
      </c>
      <c r="U52" s="142">
        <f t="shared" si="45"/>
        <v>-201.82239007142852</v>
      </c>
      <c r="V52" s="142">
        <f t="shared" si="45"/>
        <v>-222.15202314285705</v>
      </c>
      <c r="W52" s="142">
        <f t="shared" ref="W52:AB52" si="46">W50-W51</f>
        <v>-238.274048642857</v>
      </c>
      <c r="X52" s="142">
        <f t="shared" si="46"/>
        <v>-255.87371314285701</v>
      </c>
      <c r="Y52" s="370">
        <f t="shared" si="46"/>
        <v>-254.25466949285703</v>
      </c>
      <c r="Z52" s="96">
        <f t="shared" si="46"/>
        <v>-247.6068075315182</v>
      </c>
      <c r="AA52" s="96">
        <f t="shared" si="46"/>
        <v>-241.74880494170486</v>
      </c>
      <c r="AB52" s="96">
        <f t="shared" si="46"/>
        <v>-234.62797737593644</v>
      </c>
      <c r="AC52" s="264">
        <f t="shared" ref="AC52" si="47">AC50-AC51</f>
        <v>-227.2356006387343</v>
      </c>
      <c r="AU52" s="182"/>
    </row>
  </sheetData>
  <phoneticPr fontId="0" type="noConversion"/>
  <pageMargins left="0.5" right="0.5" top="1" bottom="1" header="0.5" footer="0.5"/>
  <pageSetup paperSize="5" scale="52" orientation="landscape" r:id="rId1"/>
  <headerFooter alignWithMargins="0">
    <oddFooter>&amp;L&amp;"Arial,Bold"&amp;F&amp;C&amp;A&amp;R&amp;D  &amp;T</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2"/>
  <sheetViews>
    <sheetView zoomScale="80" zoomScaleNormal="80" workbookViewId="0">
      <pane xSplit="1" ySplit="5" topLeftCell="B6" activePane="bottomRight" state="frozen"/>
      <selection activeCell="AF39" sqref="AF39"/>
      <selection pane="topRight" activeCell="AF39" sqref="AF39"/>
      <selection pane="bottomLeft" activeCell="AF39" sqref="AF39"/>
      <selection pane="bottomRight" activeCell="AC7" sqref="AC7"/>
    </sheetView>
  </sheetViews>
  <sheetFormatPr baseColWidth="10" defaultColWidth="9.140625" defaultRowHeight="12.75" outlineLevelCol="1" x14ac:dyDescent="0.2"/>
  <cols>
    <col min="1" max="1" width="27.7109375" customWidth="1"/>
    <col min="2" max="2" width="36.140625" customWidth="1"/>
    <col min="3" max="3" width="10.28515625" hidden="1" customWidth="1" outlineLevel="1"/>
    <col min="4" max="16" width="9.140625" hidden="1" customWidth="1" outlineLevel="1"/>
    <col min="17" max="17" width="9.140625" style="116" hidden="1" customWidth="1" outlineLevel="1"/>
    <col min="18" max="18" width="9.140625" style="116" collapsed="1"/>
    <col min="19" max="21" width="9.140625" style="116"/>
    <col min="22" max="22" width="10" style="116" customWidth="1"/>
    <col min="23" max="27" width="10" style="116" bestFit="1" customWidth="1"/>
    <col min="28" max="28" width="10" style="397" bestFit="1" customWidth="1"/>
    <col min="29" max="31" width="10" style="76" bestFit="1" customWidth="1" outlineLevel="1"/>
    <col min="32" max="32" width="10" style="239" bestFit="1" customWidth="1" outlineLevel="1"/>
    <col min="33" max="33" width="9.140625" customWidth="1" outlineLevel="1"/>
  </cols>
  <sheetData>
    <row r="1" spans="1:32" ht="15.75" x14ac:dyDescent="0.25">
      <c r="A1" s="18" t="s">
        <v>67</v>
      </c>
    </row>
    <row r="2" spans="1:32" x14ac:dyDescent="0.2">
      <c r="A2" s="2" t="s">
        <v>210</v>
      </c>
    </row>
    <row r="5" spans="1:32" s="2" customFormat="1" ht="13.5" thickBot="1" x14ac:dyDescent="0.25">
      <c r="A5" s="19" t="s">
        <v>1</v>
      </c>
      <c r="B5" s="20" t="s">
        <v>26</v>
      </c>
      <c r="C5" s="20">
        <v>1990</v>
      </c>
      <c r="D5" s="20">
        <v>1991</v>
      </c>
      <c r="E5" s="20">
        <v>1992</v>
      </c>
      <c r="F5" s="20">
        <v>1993</v>
      </c>
      <c r="G5" s="20">
        <v>1994</v>
      </c>
      <c r="H5" s="20">
        <v>1995</v>
      </c>
      <c r="I5" s="20">
        <v>1996</v>
      </c>
      <c r="J5" s="20">
        <v>1997</v>
      </c>
      <c r="K5" s="20">
        <v>1998</v>
      </c>
      <c r="L5" s="20">
        <v>1999</v>
      </c>
      <c r="M5" s="20">
        <v>2000</v>
      </c>
      <c r="N5" s="20">
        <v>2001</v>
      </c>
      <c r="O5" s="20">
        <v>2002</v>
      </c>
      <c r="P5" s="20">
        <v>2003</v>
      </c>
      <c r="Q5" s="117">
        <v>2004</v>
      </c>
      <c r="R5" s="117">
        <v>2005</v>
      </c>
      <c r="S5" s="117">
        <v>2006</v>
      </c>
      <c r="T5" s="117">
        <v>2007</v>
      </c>
      <c r="U5" s="117">
        <v>2008</v>
      </c>
      <c r="V5" s="117">
        <v>2009</v>
      </c>
      <c r="W5" s="117">
        <v>2010</v>
      </c>
      <c r="X5" s="117">
        <v>2011</v>
      </c>
      <c r="Y5" s="117">
        <v>2012</v>
      </c>
      <c r="Z5" s="117">
        <v>2013</v>
      </c>
      <c r="AA5" s="117">
        <v>2014</v>
      </c>
      <c r="AB5" s="512">
        <v>2015</v>
      </c>
      <c r="AC5" s="77">
        <v>2016</v>
      </c>
      <c r="AD5" s="77">
        <v>2017</v>
      </c>
      <c r="AE5" s="77">
        <v>2018</v>
      </c>
      <c r="AF5" s="240">
        <v>2019</v>
      </c>
    </row>
    <row r="6" spans="1:32" s="3" customFormat="1" x14ac:dyDescent="0.2">
      <c r="Q6" s="122"/>
      <c r="R6" s="122"/>
      <c r="S6" s="122"/>
      <c r="T6" s="122"/>
      <c r="U6" s="122"/>
      <c r="V6" s="122"/>
      <c r="W6" s="122"/>
      <c r="X6" s="122"/>
      <c r="Y6" s="122"/>
      <c r="Z6" s="122"/>
      <c r="AA6" s="122"/>
      <c r="AB6" s="513"/>
      <c r="AC6" s="79"/>
      <c r="AD6" s="79"/>
      <c r="AE6" s="79"/>
      <c r="AF6" s="241"/>
    </row>
    <row r="7" spans="1:32" s="3" customFormat="1" x14ac:dyDescent="0.2">
      <c r="A7" s="3" t="s">
        <v>212</v>
      </c>
      <c r="B7" s="3" t="s">
        <v>226</v>
      </c>
      <c r="C7" s="7">
        <v>4302</v>
      </c>
      <c r="D7" s="3">
        <f>liability!C36</f>
        <v>4267</v>
      </c>
      <c r="E7" s="3">
        <f>liability!D36</f>
        <v>4225.43</v>
      </c>
      <c r="F7" s="3">
        <f>liability!E36</f>
        <v>3694.4225000000006</v>
      </c>
      <c r="G7" s="3">
        <f>liability!F36</f>
        <v>3459.5162499999969</v>
      </c>
      <c r="H7" s="3">
        <f>liability!G36</f>
        <v>4169.3037499999955</v>
      </c>
      <c r="I7" s="3">
        <f>liability!H36</f>
        <v>4230.6912499999999</v>
      </c>
      <c r="J7" s="3">
        <f>liability!I36</f>
        <v>3885.3662500000028</v>
      </c>
      <c r="K7" s="3">
        <f>liability!J36</f>
        <v>2989.8549999999996</v>
      </c>
      <c r="L7" s="3">
        <f>liability!K36</f>
        <v>1760.9975000000013</v>
      </c>
      <c r="M7" s="3">
        <f>liability!L36</f>
        <v>302.2799999999952</v>
      </c>
      <c r="N7" s="3">
        <f>liability!M36</f>
        <v>-1520.565000000006</v>
      </c>
      <c r="O7" s="3">
        <f>liability!N36</f>
        <v>-2513.2850000000071</v>
      </c>
      <c r="P7" s="3">
        <f>liability!O36</f>
        <v>-3192.565000000006</v>
      </c>
      <c r="Q7" s="122">
        <f>liability!P36</f>
        <v>-3880.7250000000095</v>
      </c>
      <c r="R7" s="122">
        <f>liability!Q36</f>
        <v>-4606.9500000000153</v>
      </c>
      <c r="S7" s="122">
        <f>liability!R36</f>
        <v>-5301.4000000000124</v>
      </c>
      <c r="T7" s="122">
        <f>liability!S36</f>
        <v>-5920.8500000000095</v>
      </c>
      <c r="U7" s="122">
        <f>liability!T36</f>
        <v>-7409.1987500000141</v>
      </c>
      <c r="V7" s="122">
        <f>liability!U36</f>
        <v>-9653.0237500000112</v>
      </c>
      <c r="W7" s="122">
        <f>liability!V36</f>
        <v>-11892.33821300001</v>
      </c>
      <c r="X7" s="122">
        <f>liability!W36</f>
        <v>-13525.479145571442</v>
      </c>
      <c r="Y7" s="122">
        <f>liability!X36</f>
        <v>-15248.16701157145</v>
      </c>
      <c r="Z7" s="122">
        <f>liability!Y36</f>
        <v>-16343.790429549132</v>
      </c>
      <c r="AA7" s="122">
        <f>liability!Z36</f>
        <v>-17602.78462954914</v>
      </c>
      <c r="AB7" s="513">
        <f>liability!AA36</f>
        <v>-19607.118876549128</v>
      </c>
      <c r="AC7" s="79">
        <f>liability!AB36</f>
        <v>-22590.441376549104</v>
      </c>
      <c r="AD7" s="79">
        <f>liability!AC36</f>
        <v>-26851.803871408858</v>
      </c>
      <c r="AE7" s="79">
        <f>liability!AD36</f>
        <v>-31985.193492232585</v>
      </c>
      <c r="AF7" s="241">
        <f>liability!AE36</f>
        <v>-37820.103114558617</v>
      </c>
    </row>
    <row r="8" spans="1:32" s="3" customFormat="1" x14ac:dyDescent="0.2">
      <c r="A8" s="3" t="s">
        <v>211</v>
      </c>
      <c r="B8" s="3" t="s">
        <v>227</v>
      </c>
      <c r="C8" s="3">
        <f>expense!C32</f>
        <v>730.63499999999999</v>
      </c>
      <c r="D8" s="3">
        <f>expense!D32</f>
        <v>882.42999999999984</v>
      </c>
      <c r="E8" s="3">
        <f>expense!E32</f>
        <v>637.99249999999984</v>
      </c>
      <c r="F8" s="3">
        <f>expense!F32</f>
        <v>468.09375</v>
      </c>
      <c r="G8" s="3">
        <f>expense!G32</f>
        <v>642.78749999999991</v>
      </c>
      <c r="H8" s="3">
        <f>expense!H32</f>
        <v>740.38749999999982</v>
      </c>
      <c r="I8" s="3">
        <f>expense!I32</f>
        <v>480.67500000000018</v>
      </c>
      <c r="J8" s="3">
        <f>expense!J32</f>
        <v>210.48874999999998</v>
      </c>
      <c r="K8" s="3">
        <f>expense!K32</f>
        <v>-92.857500000000073</v>
      </c>
      <c r="L8" s="3">
        <f>expense!L32</f>
        <v>-674.7175000000002</v>
      </c>
      <c r="M8" s="3">
        <f>expense!M32</f>
        <v>-1165.8449999999998</v>
      </c>
      <c r="N8" s="3">
        <f>expense!N32</f>
        <v>-317.72000000000025</v>
      </c>
      <c r="O8" s="3">
        <f>expense!O32</f>
        <v>27.720000000000255</v>
      </c>
      <c r="P8" s="3">
        <f>expense!P32</f>
        <v>41.839999999999236</v>
      </c>
      <c r="Q8" s="122">
        <f>expense!Q32</f>
        <v>31.774999999999636</v>
      </c>
      <c r="R8" s="122">
        <f>expense!R32</f>
        <v>96.549999999999272</v>
      </c>
      <c r="S8" s="122">
        <f>expense!S32</f>
        <v>200.55000000000018</v>
      </c>
      <c r="T8" s="122">
        <f>expense!T32</f>
        <v>-428.34875000000011</v>
      </c>
      <c r="U8" s="122">
        <f>expense!U32</f>
        <v>-1087.8249999999998</v>
      </c>
      <c r="V8" s="122">
        <f>expense!V32</f>
        <v>-831.31446299999948</v>
      </c>
      <c r="W8" s="122">
        <f>expense!W32</f>
        <v>-285.14093257142963</v>
      </c>
      <c r="X8" s="122">
        <f>expense!X32</f>
        <v>-317.68786599999964</v>
      </c>
      <c r="Y8" s="122">
        <f>expense!Y32</f>
        <v>361.37658202232205</v>
      </c>
      <c r="Z8" s="122">
        <f>expense!Z32</f>
        <v>269.00579999999991</v>
      </c>
      <c r="AA8" s="122">
        <f>expense!AA32</f>
        <v>-411.33424700000046</v>
      </c>
      <c r="AB8" s="513">
        <f>expense!AB32</f>
        <v>-1346.3225000000011</v>
      </c>
      <c r="AC8" s="79">
        <f>expense!AC32</f>
        <v>-2557.3384511439053</v>
      </c>
      <c r="AD8" s="79">
        <f>expense!AD32</f>
        <v>-3362.2046241024304</v>
      </c>
      <c r="AE8" s="79">
        <f>expense!AE32</f>
        <v>-4003.3662563806988</v>
      </c>
      <c r="AF8" s="241">
        <f>expense!AF32</f>
        <v>-4549.7186385840378</v>
      </c>
    </row>
    <row r="9" spans="1:32" s="3" customFormat="1" x14ac:dyDescent="0.2">
      <c r="A9" s="3" t="s">
        <v>228</v>
      </c>
      <c r="B9" s="3" t="s">
        <v>157</v>
      </c>
      <c r="C9" s="3">
        <f>('Data Input'!D35+'Data Input'!D37)*-1</f>
        <v>-766</v>
      </c>
      <c r="D9" s="3">
        <f>('Data Input'!E35+'Data Input'!E37)*-1</f>
        <v>-924</v>
      </c>
      <c r="E9" s="3">
        <f>('Data Input'!F35+'Data Input'!F37)*-1</f>
        <v>-1169</v>
      </c>
      <c r="F9" s="3">
        <f>('Data Input'!G35+'Data Input'!G37)*-1</f>
        <v>-703</v>
      </c>
      <c r="G9" s="3">
        <f>('Data Input'!H35+'Data Input'!H37)*-1</f>
        <v>-695</v>
      </c>
      <c r="H9" s="3">
        <f>('Data Input'!I35+'Data Input'!I37)*-1</f>
        <v>-660</v>
      </c>
      <c r="I9" s="3">
        <f>('Data Input'!J35+'Data Input'!J37)*-1</f>
        <v>-816</v>
      </c>
      <c r="J9" s="3">
        <f>('Data Input'!K35+'Data Input'!K37)*-1</f>
        <v>-1097</v>
      </c>
      <c r="K9" s="3">
        <f>('Data Input'!L35+'Data Input'!L37)*-1</f>
        <v>-1131</v>
      </c>
      <c r="L9" s="3">
        <f>('Data Input'!M35+'Data Input'!M37)*-1</f>
        <v>-774</v>
      </c>
      <c r="M9" s="3">
        <f>('Data Input'!N35+'Data Input'!N37)*-1</f>
        <v>-648</v>
      </c>
      <c r="N9" s="3">
        <f>('Data Input'!O35+'Data Input'!O37)*-1</f>
        <v>-665</v>
      </c>
      <c r="O9" s="3">
        <f>('Data Input'!P35+'Data Input'!P37)*-1</f>
        <v>-690</v>
      </c>
      <c r="P9" s="3">
        <f>('Data Input'!Q35+'Data Input'!Q37)*-1</f>
        <v>-713</v>
      </c>
      <c r="Q9" s="122">
        <f>('Data Input'!R35+'Data Input'!R37)*-1</f>
        <v>-746</v>
      </c>
      <c r="R9" s="122">
        <f>('Data Input'!S35+'Data Input'!S37)*-1</f>
        <v>-781</v>
      </c>
      <c r="S9" s="122">
        <f>('Data Input'!T35+'Data Input'!T37)*-1</f>
        <v>-820</v>
      </c>
      <c r="T9" s="122">
        <f>('Data Input'!U35+'Data Input'!U37)*-1</f>
        <v>-1060</v>
      </c>
      <c r="U9" s="122">
        <f>('Data Input'!V35+'Data Input'!V37)*-1</f>
        <v>-1156</v>
      </c>
      <c r="V9" s="122">
        <f>('Data Input'!W35+'Data Input'!W37)*-1</f>
        <v>-1408</v>
      </c>
      <c r="W9" s="122">
        <f>('Data Input'!X35+'Data Input'!X37)*-1</f>
        <v>-1348</v>
      </c>
      <c r="X9" s="122">
        <f>('Data Input'!Y35+'Data Input'!Y37+'Data Input'!Y36)*-1</f>
        <v>-1406</v>
      </c>
      <c r="Y9" s="122">
        <f>('Data Input'!Z35+'Data Input'!Z37+'Data Input'!Z36)*-1</f>
        <v>-1458</v>
      </c>
      <c r="Z9" s="122">
        <f>('Data Input'!AA35+'Data Input'!AA37+'Data Input'!AA36)*-1</f>
        <v>-1527</v>
      </c>
      <c r="AA9" s="122">
        <f>('Data Input'!AB35+'Data Input'!AB37+'Data Input'!AB36)*-1</f>
        <v>-1593</v>
      </c>
      <c r="AB9" s="513">
        <f>('Data Input'!AC35+'Data Input'!AC37+'Data Input'!AC36)*-1</f>
        <v>-1637</v>
      </c>
      <c r="AC9" s="79">
        <f>('Data Input'!AD35+'Data Input'!AD37+'Data Input'!AD36)*-1</f>
        <v>-1704.024043715847</v>
      </c>
      <c r="AD9" s="79">
        <f>('Data Input'!AE35+'Data Input'!AE37+'Data Input'!AE36)*-1</f>
        <v>-1771.1849967213113</v>
      </c>
      <c r="AE9" s="79">
        <f>('Data Input'!AF35+'Data Input'!AF37+'Data Input'!AF36)*-1</f>
        <v>-1831.5433659453552</v>
      </c>
      <c r="AF9" s="241">
        <f>('Data Input'!AG35+'Data Input'!AG37+'Data Input'!AG36)*-1</f>
        <v>-1893.9933708257922</v>
      </c>
    </row>
    <row r="10" spans="1:32" s="3" customFormat="1" x14ac:dyDescent="0.2">
      <c r="A10" s="3" t="s">
        <v>230</v>
      </c>
      <c r="B10" s="3" t="s">
        <v>157</v>
      </c>
      <c r="C10" s="6">
        <f>'Data Input'!D34*-1</f>
        <v>0</v>
      </c>
      <c r="D10" s="6">
        <f>'Data Input'!E34*-1</f>
        <v>0</v>
      </c>
      <c r="E10" s="6">
        <f>'Data Input'!F34*-1</f>
        <v>0</v>
      </c>
      <c r="F10" s="6">
        <f>'Data Input'!G34*-1</f>
        <v>0</v>
      </c>
      <c r="G10" s="6">
        <f>'Data Input'!H34*-1</f>
        <v>-22</v>
      </c>
      <c r="H10" s="6">
        <f>'Data Input'!I34*-1</f>
        <v>-19</v>
      </c>
      <c r="I10" s="6">
        <f>'Data Input'!J34*-1</f>
        <v>-10</v>
      </c>
      <c r="J10" s="6">
        <f>'Data Input'!K34*-1</f>
        <v>-9</v>
      </c>
      <c r="K10" s="6">
        <f>'Data Input'!L34*-1</f>
        <v>-5</v>
      </c>
      <c r="L10" s="6">
        <f>'Data Input'!M34*-1</f>
        <v>-10</v>
      </c>
      <c r="M10" s="6">
        <f>'Data Input'!N34*-1</f>
        <v>-9</v>
      </c>
      <c r="N10" s="6">
        <f>'Data Input'!O34*-1</f>
        <v>-9</v>
      </c>
      <c r="O10" s="6">
        <f>'Data Input'!P34*-1</f>
        <v>-18</v>
      </c>
      <c r="P10" s="6">
        <f>'Data Input'!Q34*-1</f>
        <v>-17</v>
      </c>
      <c r="Q10" s="126">
        <f>'Data Input'!R34*-1</f>
        <v>-12</v>
      </c>
      <c r="R10" s="126">
        <f>'Data Input'!S34*-1</f>
        <v>-10</v>
      </c>
      <c r="S10" s="126"/>
      <c r="T10" s="126"/>
      <c r="U10" s="126"/>
      <c r="V10" s="126"/>
      <c r="W10" s="126"/>
      <c r="X10" s="126"/>
      <c r="Y10" s="126"/>
      <c r="Z10" s="126"/>
      <c r="AA10" s="126"/>
      <c r="AB10" s="514"/>
      <c r="AC10" s="81"/>
      <c r="AD10" s="81"/>
      <c r="AE10" s="81"/>
      <c r="AF10" s="242"/>
    </row>
    <row r="11" spans="1:32" s="8" customFormat="1" x14ac:dyDescent="0.2">
      <c r="A11" s="8" t="s">
        <v>213</v>
      </c>
      <c r="B11" s="8" t="s">
        <v>31</v>
      </c>
      <c r="C11" s="21">
        <f>SUM(C7:C10)</f>
        <v>4266.6350000000002</v>
      </c>
      <c r="D11" s="21">
        <f>SUM(D7:D10)</f>
        <v>4225.43</v>
      </c>
      <c r="E11" s="21">
        <f t="shared" ref="E11:Q11" si="0">SUM(E7:E10)</f>
        <v>3694.4225000000006</v>
      </c>
      <c r="F11" s="21">
        <f t="shared" si="0"/>
        <v>3459.5162500000006</v>
      </c>
      <c r="G11" s="21">
        <f t="shared" si="0"/>
        <v>3385.3037499999973</v>
      </c>
      <c r="H11" s="21">
        <f t="shared" si="0"/>
        <v>4230.6912499999953</v>
      </c>
      <c r="I11" s="21">
        <f t="shared" si="0"/>
        <v>3885.36625</v>
      </c>
      <c r="J11" s="21">
        <f t="shared" si="0"/>
        <v>2989.8550000000027</v>
      </c>
      <c r="K11" s="21">
        <f t="shared" si="0"/>
        <v>1760.9974999999995</v>
      </c>
      <c r="L11" s="21">
        <f t="shared" si="0"/>
        <v>302.28000000000111</v>
      </c>
      <c r="M11" s="21">
        <f t="shared" si="0"/>
        <v>-1520.5650000000046</v>
      </c>
      <c r="N11" s="21">
        <f t="shared" si="0"/>
        <v>-2512.2850000000062</v>
      </c>
      <c r="O11" s="21">
        <f t="shared" si="0"/>
        <v>-3193.5650000000069</v>
      </c>
      <c r="P11" s="21">
        <f t="shared" si="0"/>
        <v>-3880.7250000000067</v>
      </c>
      <c r="Q11" s="141">
        <f t="shared" si="0"/>
        <v>-4606.9500000000098</v>
      </c>
      <c r="R11" s="141">
        <f t="shared" ref="R11:AD11" si="1">SUM(R7:R10)</f>
        <v>-5301.400000000016</v>
      </c>
      <c r="S11" s="141">
        <f t="shared" si="1"/>
        <v>-5920.8500000000122</v>
      </c>
      <c r="T11" s="141">
        <f t="shared" si="1"/>
        <v>-7409.1987500000096</v>
      </c>
      <c r="U11" s="141">
        <f t="shared" si="1"/>
        <v>-9653.0237500000148</v>
      </c>
      <c r="V11" s="141">
        <f t="shared" si="1"/>
        <v>-11892.33821300001</v>
      </c>
      <c r="W11" s="141">
        <f t="shared" si="1"/>
        <v>-13525.47914557144</v>
      </c>
      <c r="X11" s="141">
        <f t="shared" si="1"/>
        <v>-15249.167011571442</v>
      </c>
      <c r="Y11" s="141">
        <f t="shared" si="1"/>
        <v>-16344.790429549128</v>
      </c>
      <c r="Z11" s="141">
        <f t="shared" si="1"/>
        <v>-17601.784629549133</v>
      </c>
      <c r="AA11" s="141">
        <f t="shared" si="1"/>
        <v>-19607.118876549139</v>
      </c>
      <c r="AB11" s="515">
        <f t="shared" si="1"/>
        <v>-22590.44137654913</v>
      </c>
      <c r="AC11" s="95">
        <f t="shared" si="1"/>
        <v>-26851.803871408858</v>
      </c>
      <c r="AD11" s="95">
        <f t="shared" si="1"/>
        <v>-31985.1934922326</v>
      </c>
      <c r="AE11" s="95">
        <f>SUM(AE7:AE10)</f>
        <v>-37820.103114558638</v>
      </c>
      <c r="AF11" s="262">
        <f>SUM(AF7:AF10)</f>
        <v>-44263.815123968452</v>
      </c>
    </row>
    <row r="12" spans="1:32" s="3" customFormat="1" x14ac:dyDescent="0.2">
      <c r="A12" s="3" t="s">
        <v>217</v>
      </c>
      <c r="B12" s="3" t="s">
        <v>229</v>
      </c>
      <c r="D12" s="3">
        <f>liability!D36-D11</f>
        <v>0</v>
      </c>
      <c r="E12" s="3">
        <f>liability!E36-E11</f>
        <v>0</v>
      </c>
      <c r="F12" s="3">
        <f>liability!F36-F11</f>
        <v>-3.637978807091713E-12</v>
      </c>
      <c r="G12" s="3">
        <f>liability!G36-G11</f>
        <v>783.99999999999818</v>
      </c>
      <c r="H12" s="3">
        <f>liability!H36-H11</f>
        <v>0</v>
      </c>
      <c r="I12" s="3">
        <f>liability!I36-I11</f>
        <v>0</v>
      </c>
      <c r="J12" s="3">
        <f>liability!J36-J11</f>
        <v>0</v>
      </c>
      <c r="K12" s="3">
        <f>liability!K36-K11</f>
        <v>1.8189894035458565E-12</v>
      </c>
      <c r="L12" s="3">
        <f>liability!L36-L11</f>
        <v>-5.9117155615240335E-12</v>
      </c>
      <c r="M12" s="3">
        <f>liability!M36-M11</f>
        <v>0</v>
      </c>
      <c r="N12" s="3">
        <f>liability!N36-N11</f>
        <v>-1.0000000000009095</v>
      </c>
      <c r="O12" s="3">
        <f>liability!O36-O11</f>
        <v>1.0000000000009095</v>
      </c>
      <c r="P12" s="3">
        <f>liability!P36-P11</f>
        <v>0</v>
      </c>
      <c r="Q12" s="122">
        <f>liability!Q36-Q11</f>
        <v>0</v>
      </c>
      <c r="R12" s="122">
        <f>liability!R36-R11</f>
        <v>0</v>
      </c>
      <c r="S12" s="122">
        <f>liability!S36-S11</f>
        <v>0</v>
      </c>
      <c r="T12" s="122">
        <f>liability!T36-T11</f>
        <v>0</v>
      </c>
      <c r="U12" s="122">
        <f>liability!U36-U11</f>
        <v>0</v>
      </c>
      <c r="V12" s="122">
        <f>liability!V36-V11</f>
        <v>0</v>
      </c>
      <c r="W12" s="122">
        <f>liability!W36-W11</f>
        <v>0</v>
      </c>
      <c r="X12" s="122">
        <f>liability!X36-X11</f>
        <v>0.99999999999272404</v>
      </c>
      <c r="Y12" s="122">
        <f>liability!Y36-Y11</f>
        <v>0.99999999999636202</v>
      </c>
      <c r="Z12" s="122">
        <f>liability!Z36-Z11</f>
        <v>-1.000000000007276</v>
      </c>
      <c r="AA12" s="122">
        <f>liability!AA36-AA11</f>
        <v>0</v>
      </c>
      <c r="AB12" s="513">
        <f>liability!AB36-AB11</f>
        <v>0</v>
      </c>
      <c r="AC12" s="79">
        <f>liability!AC36-AC11</f>
        <v>0</v>
      </c>
      <c r="AD12" s="79">
        <f>liability!AD36-AD11</f>
        <v>0</v>
      </c>
      <c r="AE12" s="79">
        <f>liability!AE36-AE11</f>
        <v>0</v>
      </c>
      <c r="AF12" s="241">
        <f>liability!AF36-AF11</f>
        <v>0</v>
      </c>
    </row>
    <row r="13" spans="1:32" s="3" customFormat="1" x14ac:dyDescent="0.2">
      <c r="Q13" s="122"/>
      <c r="R13" s="122"/>
      <c r="S13" s="122"/>
      <c r="T13" s="122"/>
      <c r="U13" s="122"/>
      <c r="V13" s="122"/>
      <c r="W13" s="122"/>
      <c r="X13" s="122"/>
      <c r="Y13" s="122"/>
      <c r="Z13" s="122"/>
      <c r="AA13" s="122"/>
      <c r="AB13" s="513"/>
      <c r="AC13" s="79"/>
      <c r="AD13" s="79"/>
      <c r="AE13" s="79"/>
      <c r="AF13" s="241"/>
    </row>
    <row r="14" spans="1:32" s="12" customFormat="1" ht="13.5" thickBot="1" x14ac:dyDescent="0.25">
      <c r="A14" s="46" t="s">
        <v>156</v>
      </c>
      <c r="B14" s="47" t="s">
        <v>26</v>
      </c>
      <c r="C14" s="47" t="s">
        <v>193</v>
      </c>
      <c r="D14" s="47" t="s">
        <v>34</v>
      </c>
      <c r="E14" s="47" t="s">
        <v>35</v>
      </c>
      <c r="F14" s="47" t="s">
        <v>36</v>
      </c>
      <c r="G14" s="47" t="s">
        <v>37</v>
      </c>
      <c r="H14" s="47" t="s">
        <v>38</v>
      </c>
      <c r="I14" s="47" t="s">
        <v>39</v>
      </c>
      <c r="J14" s="47" t="s">
        <v>40</v>
      </c>
      <c r="K14" s="47" t="s">
        <v>41</v>
      </c>
      <c r="L14" s="47" t="s">
        <v>42</v>
      </c>
      <c r="M14" s="47" t="s">
        <v>43</v>
      </c>
      <c r="N14" s="47" t="s">
        <v>44</v>
      </c>
      <c r="O14" s="47" t="s">
        <v>45</v>
      </c>
      <c r="P14" s="47" t="s">
        <v>168</v>
      </c>
      <c r="Q14" s="143" t="s">
        <v>169</v>
      </c>
      <c r="R14" s="143" t="s">
        <v>170</v>
      </c>
      <c r="S14" s="143" t="s">
        <v>171</v>
      </c>
      <c r="T14" s="143" t="s">
        <v>172</v>
      </c>
      <c r="U14" s="143" t="s">
        <v>173</v>
      </c>
      <c r="V14" s="143" t="s">
        <v>174</v>
      </c>
      <c r="W14" s="143" t="s">
        <v>175</v>
      </c>
      <c r="X14" s="143" t="s">
        <v>176</v>
      </c>
      <c r="Y14" s="143" t="s">
        <v>177</v>
      </c>
      <c r="Z14" s="143" t="s">
        <v>178</v>
      </c>
      <c r="AA14" s="143" t="s">
        <v>294</v>
      </c>
      <c r="AB14" s="516" t="s">
        <v>309</v>
      </c>
      <c r="AC14" s="97" t="s">
        <v>315</v>
      </c>
      <c r="AD14" s="97" t="s">
        <v>316</v>
      </c>
      <c r="AE14" s="97" t="s">
        <v>317</v>
      </c>
      <c r="AF14" s="265" t="s">
        <v>318</v>
      </c>
    </row>
    <row r="15" spans="1:32" s="3" customFormat="1" x14ac:dyDescent="0.2">
      <c r="Q15" s="122"/>
      <c r="R15" s="122"/>
      <c r="S15" s="122"/>
      <c r="T15" s="122"/>
      <c r="U15" s="122"/>
      <c r="V15" s="122"/>
      <c r="W15" s="122"/>
      <c r="X15" s="122"/>
      <c r="Y15" s="122"/>
      <c r="Z15" s="122"/>
      <c r="AA15" s="122"/>
      <c r="AB15" s="513"/>
      <c r="AC15" s="79"/>
      <c r="AD15" s="79"/>
      <c r="AE15" s="79"/>
      <c r="AF15" s="241"/>
    </row>
    <row r="16" spans="1:32" s="8" customFormat="1" x14ac:dyDescent="0.2">
      <c r="A16" s="8" t="s">
        <v>212</v>
      </c>
      <c r="B16" s="8" t="s">
        <v>31</v>
      </c>
      <c r="C16" s="48">
        <v>5084</v>
      </c>
      <c r="D16" s="50">
        <f>+C20</f>
        <v>5159.6350000000002</v>
      </c>
      <c r="E16" s="50">
        <f t="shared" ref="E16:Q16" si="2">+D20</f>
        <v>5170.0650000000005</v>
      </c>
      <c r="F16" s="50">
        <f t="shared" si="2"/>
        <v>4875.0575000000008</v>
      </c>
      <c r="G16" s="50">
        <f t="shared" si="2"/>
        <v>4902.1512500000008</v>
      </c>
      <c r="H16" s="50">
        <f>+G20+784</f>
        <v>4978.9387500000012</v>
      </c>
      <c r="I16" s="50">
        <f t="shared" si="2"/>
        <v>5033.326250000001</v>
      </c>
      <c r="J16" s="50">
        <f t="shared" si="2"/>
        <v>4588.0012500000012</v>
      </c>
      <c r="K16" s="50">
        <f t="shared" si="2"/>
        <v>3666.4900000000016</v>
      </c>
      <c r="L16" s="50">
        <f t="shared" si="2"/>
        <v>2464.6325000000015</v>
      </c>
      <c r="M16" s="50">
        <f t="shared" si="2"/>
        <v>1122.9150000000013</v>
      </c>
      <c r="N16" s="50">
        <f t="shared" si="2"/>
        <v>-677.92999999999847</v>
      </c>
      <c r="O16" s="50">
        <f t="shared" si="2"/>
        <v>-1640.6843699999986</v>
      </c>
      <c r="P16" s="50">
        <f t="shared" si="2"/>
        <v>-2295.2071959999985</v>
      </c>
      <c r="Q16" s="144">
        <f t="shared" si="2"/>
        <v>-2936.3103709999991</v>
      </c>
      <c r="R16" s="144">
        <f t="shared" ref="R16:AD16" si="3">+Q20</f>
        <v>-3612.6790049999995</v>
      </c>
      <c r="S16" s="144">
        <f t="shared" si="3"/>
        <v>-4256.338538</v>
      </c>
      <c r="T16" s="144">
        <f t="shared" si="3"/>
        <v>-4850.9054269999997</v>
      </c>
      <c r="U16" s="144">
        <f t="shared" si="3"/>
        <v>-6087.4688459999998</v>
      </c>
      <c r="V16" s="144">
        <f t="shared" si="3"/>
        <v>-8245.2938460000005</v>
      </c>
      <c r="W16" s="144">
        <f t="shared" si="3"/>
        <v>-10321.178467</v>
      </c>
      <c r="X16" s="144">
        <f t="shared" si="3"/>
        <v>-11922.581265571431</v>
      </c>
      <c r="Y16" s="144">
        <f t="shared" si="3"/>
        <v>-13584.082088571431</v>
      </c>
      <c r="Z16" s="144">
        <f t="shared" si="3"/>
        <v>-14615.76247254911</v>
      </c>
      <c r="AA16" s="144">
        <f t="shared" si="3"/>
        <v>-15807.512621549109</v>
      </c>
      <c r="AB16" s="517">
        <f t="shared" si="3"/>
        <v>-17744.647539549111</v>
      </c>
      <c r="AC16" s="98">
        <f t="shared" si="3"/>
        <v>-20689.208126849113</v>
      </c>
      <c r="AD16" s="98">
        <f t="shared" si="3"/>
        <v>-24910.722903008591</v>
      </c>
      <c r="AE16" s="98">
        <f>+AD20</f>
        <v>-30005.559970144801</v>
      </c>
      <c r="AF16" s="266">
        <f>+AE20</f>
        <v>-35803.081019408186</v>
      </c>
    </row>
    <row r="17" spans="1:33" s="3" customFormat="1" x14ac:dyDescent="0.2">
      <c r="A17" s="3" t="s">
        <v>211</v>
      </c>
      <c r="B17" s="3" t="s">
        <v>227</v>
      </c>
      <c r="C17" s="3">
        <f>expense!C32</f>
        <v>730.63499999999999</v>
      </c>
      <c r="D17" s="3">
        <f>expense!D32</f>
        <v>882.42999999999984</v>
      </c>
      <c r="E17" s="3">
        <f>expense!E32</f>
        <v>637.99249999999984</v>
      </c>
      <c r="F17" s="3">
        <f>expense!F32</f>
        <v>468.09375</v>
      </c>
      <c r="G17" s="3">
        <f>expense!G32</f>
        <v>642.78749999999991</v>
      </c>
      <c r="H17" s="3">
        <f>expense!H32</f>
        <v>740.38749999999982</v>
      </c>
      <c r="I17" s="3">
        <f>expense!I32</f>
        <v>480.67500000000018</v>
      </c>
      <c r="J17" s="3">
        <f>expense!J32</f>
        <v>210.48874999999998</v>
      </c>
      <c r="K17" s="3">
        <f>expense!K32</f>
        <v>-92.857500000000073</v>
      </c>
      <c r="L17" s="3">
        <f>expense!L32</f>
        <v>-674.7175000000002</v>
      </c>
      <c r="M17" s="3">
        <f>expense!M32</f>
        <v>-1165.8449999999998</v>
      </c>
      <c r="N17" s="3">
        <f>expense!N32</f>
        <v>-317.72000000000025</v>
      </c>
      <c r="O17" s="3">
        <f>expense!O32</f>
        <v>27.720000000000255</v>
      </c>
      <c r="P17" s="3">
        <f>expense!P32</f>
        <v>41.839999999999236</v>
      </c>
      <c r="Q17" s="122">
        <f>expense!Q32</f>
        <v>31.774999999999636</v>
      </c>
      <c r="R17" s="122">
        <f>expense!R32</f>
        <v>96.549999999999272</v>
      </c>
      <c r="S17" s="122">
        <f>expense!S32</f>
        <v>200.55000000000018</v>
      </c>
      <c r="T17" s="122">
        <f>expense!T32</f>
        <v>-428.34875000000011</v>
      </c>
      <c r="U17" s="122">
        <f>expense!U32</f>
        <v>-1087.8249999999998</v>
      </c>
      <c r="V17" s="122">
        <f>expense!V32</f>
        <v>-831.31446299999948</v>
      </c>
      <c r="W17" s="122">
        <f>expense!W32</f>
        <v>-285.14093257142963</v>
      </c>
      <c r="X17" s="122">
        <f>expense!X32</f>
        <v>-317.68786599999964</v>
      </c>
      <c r="Y17" s="122">
        <f>expense!Y32</f>
        <v>361.37658202232205</v>
      </c>
      <c r="Z17" s="122">
        <f>expense!Z32</f>
        <v>269.00579999999991</v>
      </c>
      <c r="AA17" s="122">
        <f>expense!AA32</f>
        <v>-411.33424700000046</v>
      </c>
      <c r="AB17" s="513">
        <f>expense!AB32</f>
        <v>-1346.3225000000011</v>
      </c>
      <c r="AC17" s="79">
        <f>expense!AC32</f>
        <v>-2557.3384511439053</v>
      </c>
      <c r="AD17" s="79">
        <f>expense!AD32</f>
        <v>-3362.2046241024304</v>
      </c>
      <c r="AE17" s="79">
        <f>expense!AE32</f>
        <v>-4003.3662563806988</v>
      </c>
      <c r="AF17" s="266">
        <f>expense!AF32</f>
        <v>-4549.7186385840378</v>
      </c>
    </row>
    <row r="18" spans="1:33" s="3" customFormat="1" x14ac:dyDescent="0.2">
      <c r="A18" s="3" t="s">
        <v>228</v>
      </c>
      <c r="B18" s="3" t="s">
        <v>214</v>
      </c>
      <c r="C18" s="3">
        <f>'Data Input'!D46*-1</f>
        <v>-655</v>
      </c>
      <c r="D18" s="3">
        <f>'Data Input'!E46*-1</f>
        <v>-872</v>
      </c>
      <c r="E18" s="3">
        <f>'Data Input'!F46*-1</f>
        <v>-933</v>
      </c>
      <c r="F18" s="3">
        <f>'Data Input'!G46*-1</f>
        <v>-441</v>
      </c>
      <c r="G18" s="3">
        <f>'Data Input'!H46*-1</f>
        <v>-566</v>
      </c>
      <c r="H18" s="3">
        <f>'Data Input'!I46*-1</f>
        <v>-686</v>
      </c>
      <c r="I18" s="3">
        <f>'Data Input'!J46*-1</f>
        <v>-926</v>
      </c>
      <c r="J18" s="3">
        <f>'Data Input'!K46*-1</f>
        <v>-1132</v>
      </c>
      <c r="K18" s="3">
        <f>'Data Input'!L46*-1</f>
        <v>-1109</v>
      </c>
      <c r="L18" s="3">
        <f>'Data Input'!M46*-1</f>
        <v>-667</v>
      </c>
      <c r="M18" s="3">
        <f>'Data Input'!N46*-1</f>
        <v>-635</v>
      </c>
      <c r="N18" s="3">
        <f>'Data Input'!O46*-1</f>
        <v>-645.03436999999997</v>
      </c>
      <c r="O18" s="3">
        <f>'Data Input'!P46*-1</f>
        <v>-676.24282600000004</v>
      </c>
      <c r="P18" s="3">
        <f>'Data Input'!Q46*-1</f>
        <v>-682.943175</v>
      </c>
      <c r="Q18" s="122">
        <f>'Data Input'!R46*-1</f>
        <v>-708.14363400000002</v>
      </c>
      <c r="R18" s="122">
        <f>'Data Input'!S46*-1</f>
        <v>-740.20953299999996</v>
      </c>
      <c r="S18" s="122">
        <f>'Data Input'!T46*-1</f>
        <v>-795.11688900000001</v>
      </c>
      <c r="T18" s="122">
        <f>'Data Input'!U46*-1</f>
        <v>-808.21466899999996</v>
      </c>
      <c r="U18" s="122">
        <f>'Data Input'!V46*-1</f>
        <v>-1070</v>
      </c>
      <c r="V18" s="122">
        <f>'Data Input'!W46*-1</f>
        <v>-1244.570158</v>
      </c>
      <c r="W18" s="122">
        <f>'Data Input'!X46*-1</f>
        <v>-1316.2618660000001</v>
      </c>
      <c r="X18" s="122">
        <f>'Data Input'!Y46*-1</f>
        <v>-1343.8129570000001</v>
      </c>
      <c r="Y18" s="122">
        <f>'Data Input'!Z46*-1</f>
        <v>-1393.0569660000001</v>
      </c>
      <c r="Z18" s="122">
        <f>'Data Input'!AA46*-1</f>
        <v>-1460.7559490000001</v>
      </c>
      <c r="AA18" s="122">
        <f>'Data Input'!AB46*-1</f>
        <v>-1525.800671</v>
      </c>
      <c r="AB18" s="513">
        <f>'Data Input'!AC46*-1</f>
        <v>-1598.2380873</v>
      </c>
      <c r="AC18" s="79">
        <f>'Data Input'!AD46*-1</f>
        <v>-1664.1763250155739</v>
      </c>
      <c r="AD18" s="79">
        <f>'Data Input'!AE46*-1</f>
        <v>-1732.632443033782</v>
      </c>
      <c r="AE18" s="79">
        <f>'Data Input'!AF46*-1</f>
        <v>-1794.1547928826822</v>
      </c>
      <c r="AF18" s="241">
        <f>'Data Input'!AG46*-1</f>
        <v>-1857.8091145237856</v>
      </c>
    </row>
    <row r="19" spans="1:33" s="3" customFormat="1" x14ac:dyDescent="0.2">
      <c r="A19" s="3" t="s">
        <v>215</v>
      </c>
      <c r="C19" s="24" t="s">
        <v>12</v>
      </c>
      <c r="D19" s="24" t="s">
        <v>12</v>
      </c>
      <c r="E19" s="24" t="s">
        <v>12</v>
      </c>
      <c r="F19" s="24" t="s">
        <v>12</v>
      </c>
      <c r="G19" s="24">
        <v>-784</v>
      </c>
      <c r="H19" s="24" t="s">
        <v>12</v>
      </c>
      <c r="I19" s="24" t="s">
        <v>12</v>
      </c>
      <c r="J19" s="24" t="s">
        <v>12</v>
      </c>
      <c r="K19" s="24" t="s">
        <v>12</v>
      </c>
      <c r="L19" s="24" t="s">
        <v>12</v>
      </c>
      <c r="M19" s="24" t="s">
        <v>12</v>
      </c>
      <c r="N19" s="24" t="s">
        <v>12</v>
      </c>
      <c r="O19" s="24">
        <v>-6</v>
      </c>
      <c r="P19" s="24" t="s">
        <v>12</v>
      </c>
      <c r="Q19" s="132" t="s">
        <v>12</v>
      </c>
      <c r="R19" s="132" t="s">
        <v>12</v>
      </c>
      <c r="S19" s="132" t="s">
        <v>12</v>
      </c>
      <c r="T19" s="132" t="s">
        <v>12</v>
      </c>
      <c r="U19" s="132" t="s">
        <v>12</v>
      </c>
      <c r="V19" s="132" t="s">
        <v>12</v>
      </c>
      <c r="W19" s="132" t="s">
        <v>12</v>
      </c>
      <c r="X19" s="132" t="s">
        <v>12</v>
      </c>
      <c r="Y19" s="132" t="s">
        <v>12</v>
      </c>
      <c r="Z19" s="132" t="s">
        <v>12</v>
      </c>
      <c r="AA19" s="132" t="s">
        <v>12</v>
      </c>
      <c r="AB19" s="518" t="s">
        <v>12</v>
      </c>
      <c r="AC19" s="86" t="s">
        <v>12</v>
      </c>
      <c r="AD19" s="86" t="s">
        <v>12</v>
      </c>
      <c r="AE19" s="86" t="s">
        <v>12</v>
      </c>
      <c r="AF19" s="248" t="s">
        <v>12</v>
      </c>
    </row>
    <row r="20" spans="1:33" s="8" customFormat="1" x14ac:dyDescent="0.2">
      <c r="A20" s="8" t="s">
        <v>213</v>
      </c>
      <c r="B20" s="8" t="s">
        <v>31</v>
      </c>
      <c r="C20" s="21">
        <f>SUM(C16:C19)</f>
        <v>5159.6350000000002</v>
      </c>
      <c r="D20" s="21">
        <f>SUM(D16:D19)</f>
        <v>5170.0650000000005</v>
      </c>
      <c r="E20" s="21">
        <f t="shared" ref="E20:Q20" si="4">SUM(E16:E19)</f>
        <v>4875.0575000000008</v>
      </c>
      <c r="F20" s="21">
        <f t="shared" si="4"/>
        <v>4902.1512500000008</v>
      </c>
      <c r="G20" s="21">
        <f t="shared" si="4"/>
        <v>4194.9387500000012</v>
      </c>
      <c r="H20" s="21">
        <f t="shared" si="4"/>
        <v>5033.326250000001</v>
      </c>
      <c r="I20" s="21">
        <f t="shared" si="4"/>
        <v>4588.0012500000012</v>
      </c>
      <c r="J20" s="21">
        <f t="shared" si="4"/>
        <v>3666.4900000000016</v>
      </c>
      <c r="K20" s="21">
        <f t="shared" si="4"/>
        <v>2464.6325000000015</v>
      </c>
      <c r="L20" s="21">
        <f t="shared" si="4"/>
        <v>1122.9150000000013</v>
      </c>
      <c r="M20" s="21">
        <f t="shared" si="4"/>
        <v>-677.92999999999847</v>
      </c>
      <c r="N20" s="21">
        <f t="shared" si="4"/>
        <v>-1640.6843699999986</v>
      </c>
      <c r="O20" s="21">
        <f t="shared" si="4"/>
        <v>-2295.2071959999985</v>
      </c>
      <c r="P20" s="21">
        <f t="shared" si="4"/>
        <v>-2936.3103709999991</v>
      </c>
      <c r="Q20" s="141">
        <f t="shared" si="4"/>
        <v>-3612.6790049999995</v>
      </c>
      <c r="R20" s="141">
        <f t="shared" ref="R20:AD20" si="5">SUM(R16:R19)</f>
        <v>-4256.338538</v>
      </c>
      <c r="S20" s="141">
        <f t="shared" si="5"/>
        <v>-4850.9054269999997</v>
      </c>
      <c r="T20" s="141">
        <f t="shared" si="5"/>
        <v>-6087.4688459999998</v>
      </c>
      <c r="U20" s="141">
        <f t="shared" si="5"/>
        <v>-8245.2938460000005</v>
      </c>
      <c r="V20" s="141">
        <f t="shared" si="5"/>
        <v>-10321.178467</v>
      </c>
      <c r="W20" s="141">
        <f t="shared" si="5"/>
        <v>-11922.581265571431</v>
      </c>
      <c r="X20" s="141">
        <f t="shared" si="5"/>
        <v>-13584.082088571431</v>
      </c>
      <c r="Y20" s="141">
        <f t="shared" si="5"/>
        <v>-14615.76247254911</v>
      </c>
      <c r="Z20" s="141">
        <f t="shared" si="5"/>
        <v>-15807.512621549109</v>
      </c>
      <c r="AA20" s="141">
        <f t="shared" si="5"/>
        <v>-17744.647539549111</v>
      </c>
      <c r="AB20" s="515">
        <f t="shared" si="5"/>
        <v>-20689.208126849113</v>
      </c>
      <c r="AC20" s="95">
        <f t="shared" si="5"/>
        <v>-24910.722903008591</v>
      </c>
      <c r="AD20" s="95">
        <f t="shared" si="5"/>
        <v>-30005.559970144801</v>
      </c>
      <c r="AE20" s="95">
        <f>SUM(AE16:AE19)</f>
        <v>-35803.081019408186</v>
      </c>
      <c r="AF20" s="262">
        <f>SUM(AF16:AF19)</f>
        <v>-42210.608772516011</v>
      </c>
    </row>
    <row r="21" spans="1:33" s="3" customFormat="1" x14ac:dyDescent="0.2">
      <c r="Q21" s="122"/>
      <c r="R21" s="122"/>
      <c r="S21" s="122"/>
      <c r="T21" s="122"/>
      <c r="U21" s="122"/>
      <c r="V21" s="122"/>
      <c r="W21" s="122"/>
      <c r="X21" s="122"/>
      <c r="Y21" s="122"/>
      <c r="Z21" s="122"/>
      <c r="AA21" s="122"/>
      <c r="AB21" s="513"/>
      <c r="AC21" s="79"/>
      <c r="AD21" s="79"/>
      <c r="AE21" s="79"/>
      <c r="AF21" s="241"/>
    </row>
    <row r="22" spans="1:33" s="9" customFormat="1" x14ac:dyDescent="0.2">
      <c r="A22" s="9" t="s">
        <v>216</v>
      </c>
      <c r="C22" s="9">
        <f>C20-C11</f>
        <v>893</v>
      </c>
      <c r="D22" s="9">
        <f>D20-D11</f>
        <v>944.63500000000022</v>
      </c>
      <c r="E22" s="9">
        <f t="shared" ref="E22:N22" si="6">E20-E11</f>
        <v>1180.6350000000002</v>
      </c>
      <c r="F22" s="9">
        <f t="shared" si="6"/>
        <v>1442.6350000000002</v>
      </c>
      <c r="G22" s="9">
        <f t="shared" si="6"/>
        <v>809.63500000000386</v>
      </c>
      <c r="H22" s="9">
        <f t="shared" si="6"/>
        <v>802.63500000000568</v>
      </c>
      <c r="I22" s="9">
        <f t="shared" si="6"/>
        <v>702.63500000000113</v>
      </c>
      <c r="J22" s="9">
        <f t="shared" si="6"/>
        <v>676.63499999999885</v>
      </c>
      <c r="K22" s="9">
        <f t="shared" si="6"/>
        <v>703.63500000000204</v>
      </c>
      <c r="L22" s="9">
        <f t="shared" si="6"/>
        <v>820.63500000000022</v>
      </c>
      <c r="M22" s="9">
        <f t="shared" si="6"/>
        <v>842.63500000000613</v>
      </c>
      <c r="N22" s="9">
        <f t="shared" si="6"/>
        <v>871.60063000000764</v>
      </c>
      <c r="O22" s="9">
        <f t="shared" ref="O22:U22" si="7">O20-O11</f>
        <v>898.3578040000084</v>
      </c>
      <c r="P22" s="9">
        <f t="shared" si="7"/>
        <v>944.41462900000761</v>
      </c>
      <c r="Q22" s="147">
        <f t="shared" si="7"/>
        <v>994.27099500001032</v>
      </c>
      <c r="R22" s="147">
        <f t="shared" si="7"/>
        <v>1045.061462000016</v>
      </c>
      <c r="S22" s="147">
        <f t="shared" si="7"/>
        <v>1069.9445730000125</v>
      </c>
      <c r="T22" s="147">
        <f t="shared" si="7"/>
        <v>1321.7299040000098</v>
      </c>
      <c r="U22" s="147">
        <f t="shared" si="7"/>
        <v>1407.7299040000144</v>
      </c>
      <c r="V22" s="147">
        <f t="shared" ref="V22:AA22" si="8">V20-V11</f>
        <v>1571.1597460000103</v>
      </c>
      <c r="W22" s="147">
        <f t="shared" si="8"/>
        <v>1602.8978800000095</v>
      </c>
      <c r="X22" s="147">
        <f t="shared" si="8"/>
        <v>1665.0849230000113</v>
      </c>
      <c r="Y22" s="147">
        <f t="shared" si="8"/>
        <v>1729.0279570000184</v>
      </c>
      <c r="Z22" s="147">
        <f t="shared" si="8"/>
        <v>1794.2720080000236</v>
      </c>
      <c r="AA22" s="147">
        <f t="shared" si="8"/>
        <v>1862.4713370000281</v>
      </c>
      <c r="AB22" s="519">
        <f>AB20-AB11</f>
        <v>1901.233249700017</v>
      </c>
      <c r="AC22" s="103">
        <f>AC20-AC11</f>
        <v>1941.080968400267</v>
      </c>
      <c r="AD22" s="103">
        <f>AD20-AD11</f>
        <v>1979.6335220877991</v>
      </c>
      <c r="AE22" s="103">
        <f>AE20-AE11</f>
        <v>2017.0220951504525</v>
      </c>
      <c r="AF22" s="267">
        <f>AF20-AF11</f>
        <v>2053.2063514524416</v>
      </c>
    </row>
    <row r="23" spans="1:33" s="3" customFormat="1" x14ac:dyDescent="0.2">
      <c r="Q23" s="122"/>
      <c r="R23" s="122"/>
      <c r="S23" s="122"/>
      <c r="T23" s="122"/>
      <c r="U23" s="122"/>
      <c r="V23" s="122"/>
      <c r="W23" s="122"/>
      <c r="X23" s="122"/>
      <c r="Y23" s="122"/>
      <c r="Z23" s="122"/>
      <c r="AA23" s="122"/>
      <c r="AB23" s="513"/>
      <c r="AC23" s="79"/>
      <c r="AD23" s="79"/>
      <c r="AE23" s="79"/>
      <c r="AF23" s="241"/>
    </row>
    <row r="24" spans="1:33" x14ac:dyDescent="0.2">
      <c r="A24" s="3" t="s">
        <v>343</v>
      </c>
      <c r="R24" s="107">
        <f>SUM(C10:R10)</f>
        <v>-150</v>
      </c>
    </row>
    <row r="25" spans="1:33" x14ac:dyDescent="0.2">
      <c r="A25" s="3" t="s">
        <v>233</v>
      </c>
      <c r="R25" s="107"/>
      <c r="S25" s="107">
        <f>'Data Input'!T40</f>
        <v>13.6</v>
      </c>
    </row>
    <row r="26" spans="1:33" x14ac:dyDescent="0.2">
      <c r="A26" s="3"/>
      <c r="R26" s="107"/>
    </row>
    <row r="27" spans="1:33" s="18" customFormat="1" ht="15.75" x14ac:dyDescent="0.25">
      <c r="A27" s="195" t="s">
        <v>344</v>
      </c>
      <c r="Q27" s="165"/>
      <c r="R27" s="166"/>
      <c r="S27" s="166">
        <f>R24/S25</f>
        <v>-11.029411764705882</v>
      </c>
      <c r="T27" s="166">
        <f t="shared" ref="T27:Y27" si="9">$S27</f>
        <v>-11.029411764705882</v>
      </c>
      <c r="U27" s="166">
        <f t="shared" si="9"/>
        <v>-11.029411764705882</v>
      </c>
      <c r="V27" s="166">
        <f t="shared" si="9"/>
        <v>-11.029411764705882</v>
      </c>
      <c r="W27" s="166">
        <f t="shared" si="9"/>
        <v>-11.029411764705882</v>
      </c>
      <c r="X27" s="166">
        <f t="shared" si="9"/>
        <v>-11.029411764705882</v>
      </c>
      <c r="Y27" s="166">
        <f t="shared" si="9"/>
        <v>-11.029411764705882</v>
      </c>
      <c r="Z27" s="166">
        <f>$S27</f>
        <v>-11.029411764705882</v>
      </c>
      <c r="AA27" s="166">
        <f>$S27</f>
        <v>-11.029411764705882</v>
      </c>
      <c r="AB27" s="520">
        <f>$S27</f>
        <v>-11.029411764705882</v>
      </c>
      <c r="AC27" s="167">
        <f>$S27+1</f>
        <v>-10.029411764705882</v>
      </c>
      <c r="AD27" s="167">
        <f>$S27+1</f>
        <v>-10.029411764705882</v>
      </c>
      <c r="AE27" s="167">
        <f>$S27+1</f>
        <v>-10.029411764705882</v>
      </c>
      <c r="AF27" s="268">
        <f>$S27+1</f>
        <v>-10.029411764705882</v>
      </c>
      <c r="AG27" s="168">
        <f>SUM(S27:AF27)</f>
        <v>-150.41176470588235</v>
      </c>
    </row>
    <row r="29" spans="1:33" x14ac:dyDescent="0.2">
      <c r="A29" s="3" t="s">
        <v>235</v>
      </c>
      <c r="S29" s="107">
        <f>$R24-SUM($S27:S27)</f>
        <v>-138.97058823529412</v>
      </c>
      <c r="T29" s="107">
        <f>$R24-SUM($S27:T27)</f>
        <v>-127.94117647058823</v>
      </c>
      <c r="U29" s="107">
        <f>$R24-SUM($S27:U27)</f>
        <v>-116.91176470588235</v>
      </c>
      <c r="V29" s="107">
        <f>$R24-SUM($S27:V27)</f>
        <v>-105.88235294117646</v>
      </c>
      <c r="W29" s="107">
        <f>$R24-SUM($S27:W27)</f>
        <v>-94.85294117647058</v>
      </c>
      <c r="X29" s="107">
        <f>$R24-SUM($S27:X27)</f>
        <v>-83.82352941176471</v>
      </c>
      <c r="Y29" s="107">
        <f>$R24-SUM($S27:Y27)</f>
        <v>-72.794117647058826</v>
      </c>
      <c r="Z29" s="107">
        <f>$R24-SUM($S27:Z27)</f>
        <v>-61.764705882352942</v>
      </c>
      <c r="AA29" s="107">
        <f>$R24-SUM($S27:AA27)</f>
        <v>-50.735294117647058</v>
      </c>
      <c r="AB29" s="398">
        <f>$R24-SUM($S27:AB27)</f>
        <v>-39.705882352941174</v>
      </c>
      <c r="AC29" s="85">
        <f>$R24-SUM($S27:AC27)</f>
        <v>-29.67647058823529</v>
      </c>
      <c r="AD29" s="85">
        <f>$R24-SUM($S27:AD27)</f>
        <v>-19.64705882352942</v>
      </c>
      <c r="AE29" s="85">
        <f>$R24-SUM($S27:AE27)</f>
        <v>-9.6176470588235361</v>
      </c>
      <c r="AF29" s="247">
        <f>$R24-SUM($S27:AF27)</f>
        <v>0.41176470588234793</v>
      </c>
    </row>
    <row r="30" spans="1:33" x14ac:dyDescent="0.2">
      <c r="A30" t="s">
        <v>345</v>
      </c>
      <c r="S30" s="160">
        <f>SUM($S27:S27)</f>
        <v>-11.029411764705882</v>
      </c>
      <c r="T30" s="160">
        <f>SUM($S27:T27)</f>
        <v>-22.058823529411764</v>
      </c>
      <c r="U30" s="160">
        <f>SUM($S27:U27)</f>
        <v>-33.088235294117645</v>
      </c>
      <c r="V30" s="160">
        <f>SUM($S27:V27)</f>
        <v>-44.117647058823529</v>
      </c>
      <c r="W30" s="160">
        <f>SUM($S27:W27)</f>
        <v>-55.147058823529413</v>
      </c>
      <c r="X30" s="160">
        <f>SUM($S27:X27)</f>
        <v>-66.17647058823529</v>
      </c>
      <c r="Y30" s="160">
        <f>SUM($S27:Y27)</f>
        <v>-77.205882352941174</v>
      </c>
      <c r="Z30" s="160">
        <f>SUM($S27:Z27)</f>
        <v>-88.235294117647058</v>
      </c>
      <c r="AA30" s="160">
        <f>SUM($S27:AA27)</f>
        <v>-99.264705882352942</v>
      </c>
      <c r="AB30" s="521">
        <f>SUM($S27:AB27)</f>
        <v>-110.29411764705883</v>
      </c>
      <c r="AC30" s="161">
        <f>SUM($S27:AC27)</f>
        <v>-120.32352941176471</v>
      </c>
      <c r="AD30" s="161">
        <f>SUM($S27:AD27)</f>
        <v>-130.35294117647058</v>
      </c>
      <c r="AE30" s="161">
        <f>SUM($S27:AE27)</f>
        <v>-140.38235294117646</v>
      </c>
      <c r="AF30" s="269">
        <f>SUM($S27:AF27)</f>
        <v>-150.41176470588235</v>
      </c>
    </row>
    <row r="32" spans="1:33" s="18" customFormat="1" ht="15.75" x14ac:dyDescent="0.25">
      <c r="A32" s="18" t="s">
        <v>203</v>
      </c>
      <c r="C32" s="164">
        <f t="shared" ref="C32:Y32" si="10">C22+C30</f>
        <v>893</v>
      </c>
      <c r="D32" s="164">
        <f t="shared" si="10"/>
        <v>944.63500000000022</v>
      </c>
      <c r="E32" s="164">
        <f t="shared" si="10"/>
        <v>1180.6350000000002</v>
      </c>
      <c r="F32" s="164">
        <f t="shared" si="10"/>
        <v>1442.6350000000002</v>
      </c>
      <c r="G32" s="164">
        <f t="shared" si="10"/>
        <v>809.63500000000386</v>
      </c>
      <c r="H32" s="164">
        <f t="shared" si="10"/>
        <v>802.63500000000568</v>
      </c>
      <c r="I32" s="164">
        <f t="shared" si="10"/>
        <v>702.63500000000113</v>
      </c>
      <c r="J32" s="164">
        <f t="shared" si="10"/>
        <v>676.63499999999885</v>
      </c>
      <c r="K32" s="164">
        <f t="shared" si="10"/>
        <v>703.63500000000204</v>
      </c>
      <c r="L32" s="164">
        <f t="shared" si="10"/>
        <v>820.63500000000022</v>
      </c>
      <c r="M32" s="164">
        <f t="shared" si="10"/>
        <v>842.63500000000613</v>
      </c>
      <c r="N32" s="164">
        <f t="shared" si="10"/>
        <v>871.60063000000764</v>
      </c>
      <c r="O32" s="164">
        <f t="shared" si="10"/>
        <v>898.3578040000084</v>
      </c>
      <c r="P32" s="164">
        <f t="shared" si="10"/>
        <v>944.41462900000761</v>
      </c>
      <c r="Q32" s="164">
        <f t="shared" si="10"/>
        <v>994.27099500001032</v>
      </c>
      <c r="R32" s="164">
        <f>R22+R30</f>
        <v>1045.061462000016</v>
      </c>
      <c r="S32" s="164">
        <f>S22+S30</f>
        <v>1058.9151612353066</v>
      </c>
      <c r="T32" s="164">
        <f t="shared" si="10"/>
        <v>1299.6710804705981</v>
      </c>
      <c r="U32" s="164">
        <f t="shared" si="10"/>
        <v>1374.6416687058968</v>
      </c>
      <c r="V32" s="164">
        <f t="shared" si="10"/>
        <v>1527.0420989411869</v>
      </c>
      <c r="W32" s="164">
        <f t="shared" si="10"/>
        <v>1547.75082117648</v>
      </c>
      <c r="X32" s="164">
        <f t="shared" si="10"/>
        <v>1598.9084524117759</v>
      </c>
      <c r="Y32" s="164">
        <f t="shared" si="10"/>
        <v>1651.8220746470772</v>
      </c>
      <c r="Z32" s="164">
        <f t="shared" ref="Z32:AD32" si="11">Z22+Z30</f>
        <v>1706.0367138823765</v>
      </c>
      <c r="AA32" s="164">
        <f t="shared" si="11"/>
        <v>1763.2066311176752</v>
      </c>
      <c r="AB32" s="522">
        <f t="shared" si="11"/>
        <v>1790.9391320529583</v>
      </c>
      <c r="AC32" s="169">
        <f t="shared" si="11"/>
        <v>1820.7574389885024</v>
      </c>
      <c r="AD32" s="169">
        <f t="shared" si="11"/>
        <v>1849.2805809113286</v>
      </c>
      <c r="AE32" s="169">
        <f>AE22+AE30</f>
        <v>1876.6397422092759</v>
      </c>
      <c r="AF32" s="270">
        <f>AF22+AF30</f>
        <v>1902.7945867465592</v>
      </c>
    </row>
  </sheetData>
  <phoneticPr fontId="0" type="noConversion"/>
  <pageMargins left="0.5" right="0.5" top="1" bottom="1" header="0.5" footer="0.5"/>
  <pageSetup paperSize="5" scale="76" orientation="landscape" r:id="rId1"/>
  <headerFooter alignWithMargins="0">
    <oddFooter>&amp;L&amp;"Arial,Bold"&amp;F&amp;C&amp;A&amp;R&amp;D  &amp;T</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workbookViewId="0">
      <pane xSplit="1" ySplit="5" topLeftCell="C6" activePane="bottomRight" state="frozen"/>
      <selection activeCell="AF39" sqref="AF39"/>
      <selection pane="topRight" activeCell="AF39" sqref="AF39"/>
      <selection pane="bottomLeft" activeCell="AF39" sqref="AF39"/>
      <selection pane="bottomRight" activeCell="Z19" sqref="Z19"/>
    </sheetView>
  </sheetViews>
  <sheetFormatPr baseColWidth="10" defaultColWidth="9.140625" defaultRowHeight="12.75" outlineLevelCol="1" x14ac:dyDescent="0.2"/>
  <cols>
    <col min="1" max="1" width="35.140625" customWidth="1"/>
    <col min="2" max="2" width="41.140625" customWidth="1"/>
    <col min="3" max="8" width="9.140625" style="116"/>
    <col min="9" max="10" width="9.140625" style="116" customWidth="1"/>
    <col min="11" max="11" width="9.140625" style="496" customWidth="1"/>
    <col min="12" max="14" width="9.140625" style="76" customWidth="1" outlineLevel="1"/>
    <col min="15" max="15" width="9.140625" style="239" customWidth="1" outlineLevel="1"/>
    <col min="16" max="16" width="9.140625" customWidth="1" outlineLevel="1"/>
  </cols>
  <sheetData>
    <row r="1" spans="1:15" ht="15.75" x14ac:dyDescent="0.25">
      <c r="A1" s="18" t="s">
        <v>67</v>
      </c>
    </row>
    <row r="2" spans="1:15" x14ac:dyDescent="0.2">
      <c r="A2" s="2" t="s">
        <v>399</v>
      </c>
    </row>
    <row r="5" spans="1:15" s="2" customFormat="1" ht="13.5" thickBot="1" x14ac:dyDescent="0.25">
      <c r="A5" s="19" t="s">
        <v>1</v>
      </c>
      <c r="B5" s="20" t="s">
        <v>26</v>
      </c>
      <c r="C5" s="117">
        <v>2008</v>
      </c>
      <c r="D5" s="117">
        <v>2009</v>
      </c>
      <c r="E5" s="117">
        <v>2010</v>
      </c>
      <c r="F5" s="117">
        <v>2011</v>
      </c>
      <c r="G5" s="117">
        <v>2012</v>
      </c>
      <c r="H5" s="117">
        <v>2013</v>
      </c>
      <c r="I5" s="117">
        <v>2014</v>
      </c>
      <c r="J5" s="117">
        <v>2015</v>
      </c>
      <c r="K5" s="498">
        <v>2016</v>
      </c>
      <c r="L5" s="77">
        <v>2017</v>
      </c>
      <c r="M5" s="77">
        <v>2019</v>
      </c>
      <c r="N5" s="77">
        <v>2018</v>
      </c>
      <c r="O5" s="240">
        <v>2019</v>
      </c>
    </row>
    <row r="6" spans="1:15" s="298" customFormat="1" x14ac:dyDescent="0.2">
      <c r="C6" s="304"/>
      <c r="D6" s="304"/>
      <c r="E6" s="304"/>
      <c r="F6" s="304"/>
      <c r="G6" s="304"/>
      <c r="H6" s="304"/>
      <c r="I6" s="304"/>
      <c r="J6" s="304"/>
      <c r="K6" s="523"/>
      <c r="L6" s="238"/>
      <c r="M6" s="238"/>
      <c r="N6" s="238"/>
      <c r="O6" s="305"/>
    </row>
    <row r="7" spans="1:15" s="298" customFormat="1" x14ac:dyDescent="0.2">
      <c r="A7" s="298" t="s">
        <v>400</v>
      </c>
      <c r="B7" s="298" t="s">
        <v>157</v>
      </c>
      <c r="C7" s="304">
        <f>'Data Input'!V36</f>
        <v>0</v>
      </c>
      <c r="D7" s="304">
        <f>'Data Input'!W36</f>
        <v>0</v>
      </c>
      <c r="E7" s="304">
        <f>'Data Input'!X36</f>
        <v>0</v>
      </c>
      <c r="F7" s="304">
        <f>'Data Input'!Y36</f>
        <v>0</v>
      </c>
      <c r="G7" s="304">
        <f>'Data Input'!Z36</f>
        <v>0</v>
      </c>
      <c r="H7" s="304">
        <f>'Data Input'!AA36</f>
        <v>1</v>
      </c>
      <c r="I7" s="304">
        <f>'Data Input'!AB36</f>
        <v>1</v>
      </c>
      <c r="J7" s="304">
        <f>'Data Input'!AC36</f>
        <v>1</v>
      </c>
      <c r="K7" s="523">
        <f>'Data Input'!AD36</f>
        <v>0</v>
      </c>
      <c r="L7" s="238">
        <f>'Data Input'!AE36</f>
        <v>0</v>
      </c>
      <c r="M7" s="238">
        <f>'Data Input'!AF36</f>
        <v>0</v>
      </c>
      <c r="N7" s="238">
        <f>'Data Input'!AG36</f>
        <v>0</v>
      </c>
      <c r="O7" s="305">
        <f>'Data Input'!AH36</f>
        <v>0</v>
      </c>
    </row>
    <row r="8" spans="1:15" s="298" customFormat="1" x14ac:dyDescent="0.2">
      <c r="C8" s="304"/>
      <c r="D8" s="304"/>
      <c r="E8" s="304"/>
      <c r="F8" s="304"/>
      <c r="G8" s="304"/>
      <c r="H8" s="304"/>
      <c r="I8" s="304"/>
      <c r="J8" s="304"/>
      <c r="K8" s="523"/>
      <c r="L8" s="238"/>
      <c r="M8" s="238"/>
      <c r="N8" s="238"/>
      <c r="O8" s="305"/>
    </row>
    <row r="9" spans="1:15" s="12" customFormat="1" ht="13.5" thickBot="1" x14ac:dyDescent="0.25">
      <c r="A9" s="46" t="s">
        <v>156</v>
      </c>
      <c r="B9" s="47" t="s">
        <v>26</v>
      </c>
      <c r="C9" s="143" t="s">
        <v>173</v>
      </c>
      <c r="D9" s="143" t="s">
        <v>174</v>
      </c>
      <c r="E9" s="143" t="s">
        <v>175</v>
      </c>
      <c r="F9" s="143" t="s">
        <v>176</v>
      </c>
      <c r="G9" s="143" t="s">
        <v>177</v>
      </c>
      <c r="H9" s="143" t="s">
        <v>178</v>
      </c>
      <c r="I9" s="143" t="s">
        <v>294</v>
      </c>
      <c r="J9" s="143" t="s">
        <v>309</v>
      </c>
      <c r="K9" s="524" t="s">
        <v>315</v>
      </c>
      <c r="L9" s="97" t="s">
        <v>316</v>
      </c>
      <c r="M9" s="97" t="s">
        <v>317</v>
      </c>
      <c r="N9" s="97" t="s">
        <v>317</v>
      </c>
      <c r="O9" s="265" t="s">
        <v>317</v>
      </c>
    </row>
    <row r="10" spans="1:15" s="298" customFormat="1" x14ac:dyDescent="0.2">
      <c r="C10" s="304"/>
      <c r="D10" s="304"/>
      <c r="E10" s="304"/>
      <c r="F10" s="304"/>
      <c r="G10" s="304"/>
      <c r="H10" s="304"/>
      <c r="I10" s="304"/>
      <c r="J10" s="304"/>
      <c r="K10" s="523"/>
      <c r="L10" s="238"/>
      <c r="M10" s="238"/>
      <c r="N10" s="238"/>
      <c r="O10" s="305"/>
    </row>
    <row r="11" spans="1:15" s="8" customFormat="1" x14ac:dyDescent="0.2">
      <c r="A11" s="298" t="s">
        <v>401</v>
      </c>
      <c r="B11" s="298" t="s">
        <v>214</v>
      </c>
      <c r="C11" s="144">
        <f>'Data Input'!V44</f>
        <v>0</v>
      </c>
      <c r="D11" s="144">
        <f>'Data Input'!W44</f>
        <v>0</v>
      </c>
      <c r="E11" s="144">
        <f>'Data Input'!X44</f>
        <v>0</v>
      </c>
      <c r="F11" s="144">
        <f>'Data Input'!Y44</f>
        <v>0</v>
      </c>
      <c r="G11" s="144">
        <f>'Data Input'!Z44</f>
        <v>0</v>
      </c>
      <c r="H11" s="144">
        <f>'Data Input'!AA44</f>
        <v>1</v>
      </c>
      <c r="I11" s="144">
        <f>'Data Input'!AB44</f>
        <v>1</v>
      </c>
      <c r="J11" s="144">
        <f>'Data Input'!AC44</f>
        <v>1</v>
      </c>
      <c r="K11" s="525">
        <f>'Data Input'!AD44</f>
        <v>0</v>
      </c>
      <c r="L11" s="98">
        <f>'Data Input'!AE44</f>
        <v>0</v>
      </c>
      <c r="M11" s="98">
        <f>'Data Input'!AF44</f>
        <v>0</v>
      </c>
      <c r="N11" s="98">
        <f>'Data Input'!AG44</f>
        <v>0</v>
      </c>
      <c r="O11" s="266">
        <f>'Data Input'!AH44</f>
        <v>0</v>
      </c>
    </row>
    <row r="13" spans="1:15" s="18" customFormat="1" ht="15.75" x14ac:dyDescent="0.25">
      <c r="A13" s="18" t="s">
        <v>402</v>
      </c>
      <c r="C13" s="164">
        <f>C11</f>
        <v>0</v>
      </c>
      <c r="D13" s="164">
        <f>C13+D11</f>
        <v>0</v>
      </c>
      <c r="E13" s="164">
        <f t="shared" ref="E13:O13" si="0">D13+E11</f>
        <v>0</v>
      </c>
      <c r="F13" s="164">
        <f t="shared" si="0"/>
        <v>0</v>
      </c>
      <c r="G13" s="164">
        <f>F13+G11</f>
        <v>0</v>
      </c>
      <c r="H13" s="164">
        <f>G13+H11</f>
        <v>1</v>
      </c>
      <c r="I13" s="164">
        <f>H13+I11</f>
        <v>2</v>
      </c>
      <c r="J13" s="164">
        <f t="shared" si="0"/>
        <v>3</v>
      </c>
      <c r="K13" s="526">
        <f t="shared" si="0"/>
        <v>3</v>
      </c>
      <c r="L13" s="169">
        <f t="shared" si="0"/>
        <v>3</v>
      </c>
      <c r="M13" s="169">
        <f t="shared" si="0"/>
        <v>3</v>
      </c>
      <c r="N13" s="169">
        <f t="shared" si="0"/>
        <v>3</v>
      </c>
      <c r="O13" s="270">
        <f t="shared" si="0"/>
        <v>3</v>
      </c>
    </row>
  </sheetData>
  <phoneticPr fontId="0" type="noConversion"/>
  <pageMargins left="0.5" right="0.5" top="1" bottom="1" header="0.5" footer="0.5"/>
  <pageSetup paperSize="5" scale="83" orientation="landscape" r:id="rId1"/>
  <headerFooter alignWithMargins="0">
    <oddFooter>&amp;L&amp;"Arial,Bold"&amp;F&amp;C&amp;A&amp;R&amp;D  &amp;T</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4"/>
  <sheetViews>
    <sheetView zoomScaleNormal="100" workbookViewId="0">
      <pane xSplit="2" ySplit="5" topLeftCell="AA6" activePane="bottomRight" state="frozen"/>
      <selection activeCell="A41" sqref="A41"/>
      <selection pane="topRight" activeCell="A41" sqref="A41"/>
      <selection pane="bottomLeft" activeCell="A41" sqref="A41"/>
      <selection pane="bottomRight" activeCell="AB38" sqref="AB38"/>
    </sheetView>
  </sheetViews>
  <sheetFormatPr baseColWidth="10" defaultColWidth="9.140625" defaultRowHeight="12.75" outlineLevelCol="1" x14ac:dyDescent="0.2"/>
  <cols>
    <col min="1" max="1" width="42.7109375" customWidth="1"/>
    <col min="2" max="2" width="20.7109375" customWidth="1"/>
    <col min="3" max="4" width="9.42578125" customWidth="1" outlineLevel="1"/>
    <col min="5" max="13" width="9.28515625" customWidth="1" outlineLevel="1"/>
    <col min="14" max="14" width="10.140625" customWidth="1" outlineLevel="1"/>
    <col min="15" max="15" width="12.28515625" customWidth="1" outlineLevel="1"/>
    <col min="16" max="16" width="13" customWidth="1" outlineLevel="1"/>
    <col min="17" max="17" width="13.140625" style="116" customWidth="1" outlineLevel="1"/>
    <col min="18" max="18" width="12" style="116" customWidth="1" outlineLevel="1"/>
    <col min="19" max="19" width="12.42578125" style="116" customWidth="1" outlineLevel="1"/>
    <col min="20" max="20" width="12.85546875" style="116" customWidth="1" outlineLevel="1"/>
    <col min="21" max="21" width="11.28515625" style="116" bestFit="1" customWidth="1"/>
    <col min="22" max="22" width="12.28515625" style="116" bestFit="1" customWidth="1"/>
    <col min="23" max="23" width="12.28515625" style="116" customWidth="1"/>
    <col min="24" max="27" width="12.28515625" style="116" bestFit="1" customWidth="1"/>
    <col min="28" max="28" width="12.28515625" style="345" bestFit="1" customWidth="1"/>
    <col min="29" max="31" width="9.140625" style="76" hidden="1" customWidth="1" outlineLevel="1"/>
    <col min="32" max="32" width="9.140625" style="239" hidden="1" customWidth="1" outlineLevel="1"/>
    <col min="33" max="33" width="9.140625" style="116" collapsed="1"/>
    <col min="34" max="16384" width="9.140625" style="116"/>
  </cols>
  <sheetData>
    <row r="1" spans="1:32" ht="15.75" x14ac:dyDescent="0.25">
      <c r="A1" s="18" t="s">
        <v>67</v>
      </c>
    </row>
    <row r="2" spans="1:32" x14ac:dyDescent="0.2">
      <c r="A2" s="2" t="s">
        <v>244</v>
      </c>
    </row>
    <row r="4" spans="1:32" ht="56.25" customHeight="1" x14ac:dyDescent="0.2">
      <c r="Z4" s="346" t="s">
        <v>178</v>
      </c>
      <c r="AA4" s="346" t="s">
        <v>294</v>
      </c>
      <c r="AB4" s="344" t="s">
        <v>309</v>
      </c>
      <c r="AC4" s="316" t="s">
        <v>315</v>
      </c>
      <c r="AD4" s="316" t="s">
        <v>316</v>
      </c>
      <c r="AE4" s="316" t="s">
        <v>317</v>
      </c>
      <c r="AF4" s="317" t="s">
        <v>318</v>
      </c>
    </row>
    <row r="5" spans="1:32" s="215" customFormat="1" ht="13.5" thickBot="1" x14ac:dyDescent="0.25">
      <c r="A5" s="19" t="s">
        <v>1</v>
      </c>
      <c r="B5" s="20" t="s">
        <v>26</v>
      </c>
      <c r="C5" s="20">
        <v>1990</v>
      </c>
      <c r="D5" s="20">
        <v>1991</v>
      </c>
      <c r="E5" s="20">
        <v>1992</v>
      </c>
      <c r="F5" s="20">
        <v>1993</v>
      </c>
      <c r="G5" s="20">
        <v>1994</v>
      </c>
      <c r="H5" s="20">
        <v>1995</v>
      </c>
      <c r="I5" s="20">
        <v>1996</v>
      </c>
      <c r="J5" s="20">
        <v>1997</v>
      </c>
      <c r="K5" s="20">
        <v>1998</v>
      </c>
      <c r="L5" s="20">
        <v>1999</v>
      </c>
      <c r="M5" s="20">
        <v>2000</v>
      </c>
      <c r="N5" s="20">
        <v>2001</v>
      </c>
      <c r="O5" s="20">
        <v>2002</v>
      </c>
      <c r="P5" s="20">
        <v>2003</v>
      </c>
      <c r="Q5" s="117">
        <v>2004</v>
      </c>
      <c r="R5" s="117">
        <v>2005</v>
      </c>
      <c r="S5" s="117">
        <v>2006</v>
      </c>
      <c r="T5" s="117">
        <v>2007</v>
      </c>
      <c r="U5" s="117">
        <v>2008</v>
      </c>
      <c r="V5" s="117">
        <v>2009</v>
      </c>
      <c r="W5" s="117">
        <v>2010</v>
      </c>
      <c r="X5" s="117">
        <v>2011</v>
      </c>
      <c r="Y5" s="117">
        <v>2012</v>
      </c>
      <c r="Z5" s="117">
        <v>2013</v>
      </c>
      <c r="AA5" s="117">
        <v>2014</v>
      </c>
      <c r="AB5" s="349">
        <v>2015</v>
      </c>
      <c r="AC5" s="77">
        <v>2016</v>
      </c>
      <c r="AD5" s="77">
        <v>2017</v>
      </c>
      <c r="AE5" s="77">
        <v>2018</v>
      </c>
      <c r="AF5" s="240">
        <v>2019</v>
      </c>
    </row>
    <row r="6" spans="1:32" s="122" customFormat="1" x14ac:dyDescent="0.2">
      <c r="A6" s="3"/>
      <c r="B6" s="3"/>
      <c r="C6" s="3"/>
      <c r="D6" s="3"/>
      <c r="E6" s="3"/>
      <c r="F6" s="3"/>
      <c r="G6" s="3"/>
      <c r="H6" s="3"/>
      <c r="I6" s="3"/>
      <c r="J6" s="3"/>
      <c r="K6" s="3"/>
      <c r="L6" s="3"/>
      <c r="M6" s="3"/>
      <c r="N6" s="3"/>
      <c r="O6" s="3"/>
      <c r="P6" s="3"/>
      <c r="AB6" s="352"/>
      <c r="AC6" s="79"/>
      <c r="AD6" s="79"/>
      <c r="AE6" s="79"/>
      <c r="AF6" s="241"/>
    </row>
    <row r="7" spans="1:32" s="122" customFormat="1" x14ac:dyDescent="0.2">
      <c r="A7" s="3"/>
      <c r="B7" s="3"/>
      <c r="C7" s="3"/>
      <c r="D7" s="3"/>
      <c r="E7" s="3"/>
      <c r="F7" s="3"/>
      <c r="G7" s="3"/>
      <c r="H7" s="3"/>
      <c r="I7" s="3"/>
      <c r="J7" s="3"/>
      <c r="K7" s="3"/>
      <c r="L7" s="3"/>
      <c r="M7" s="3"/>
      <c r="N7" s="3"/>
      <c r="O7" s="3"/>
      <c r="P7" s="3"/>
      <c r="AB7" s="352"/>
      <c r="AC7" s="79"/>
      <c r="AD7" s="79"/>
      <c r="AE7" s="79"/>
      <c r="AF7" s="241"/>
    </row>
    <row r="8" spans="1:32" s="122" customFormat="1" x14ac:dyDescent="0.2">
      <c r="A8" s="12" t="s">
        <v>245</v>
      </c>
      <c r="B8" s="3"/>
      <c r="C8" s="3"/>
      <c r="D8" s="3"/>
      <c r="E8" s="3"/>
      <c r="F8" s="3"/>
      <c r="G8" s="3"/>
      <c r="H8" s="3"/>
      <c r="I8" s="3"/>
      <c r="J8" s="3"/>
      <c r="K8" s="3"/>
      <c r="L8" s="3"/>
      <c r="M8" s="3"/>
      <c r="N8" s="3"/>
      <c r="O8" s="3"/>
      <c r="P8" s="3"/>
      <c r="AB8" s="352"/>
      <c r="AC8" s="79"/>
      <c r="AD8" s="79"/>
      <c r="AE8" s="79"/>
      <c r="AF8" s="241"/>
    </row>
    <row r="9" spans="1:32" s="122" customFormat="1" x14ac:dyDescent="0.2">
      <c r="A9" s="3"/>
      <c r="B9" s="3"/>
      <c r="C9" s="3"/>
      <c r="D9" s="3"/>
      <c r="E9" s="3"/>
      <c r="F9" s="3"/>
      <c r="G9" s="3"/>
      <c r="H9" s="3"/>
      <c r="I9" s="3"/>
      <c r="J9" s="3"/>
      <c r="K9" s="3"/>
      <c r="L9" s="3"/>
      <c r="M9" s="3"/>
      <c r="N9" s="3"/>
      <c r="O9" s="3"/>
      <c r="P9" s="3"/>
      <c r="AB9" s="352"/>
      <c r="AC9" s="79"/>
      <c r="AD9" s="79"/>
      <c r="AE9" s="79"/>
      <c r="AF9" s="241"/>
    </row>
    <row r="10" spans="1:32" s="122" customFormat="1" x14ac:dyDescent="0.2">
      <c r="A10" s="3" t="s">
        <v>218</v>
      </c>
      <c r="B10" s="3" t="s">
        <v>238</v>
      </c>
      <c r="C10" s="3">
        <f>C25/2</f>
        <v>465</v>
      </c>
      <c r="D10" s="3">
        <f>D25/2</f>
        <v>590</v>
      </c>
      <c r="E10" s="3">
        <f>E25/2</f>
        <v>594</v>
      </c>
      <c r="F10" s="3">
        <f>F25/2</f>
        <v>585</v>
      </c>
      <c r="G10" s="3">
        <f t="shared" ref="G10:N10" si="0">G25/2</f>
        <v>646</v>
      </c>
      <c r="H10" s="3">
        <f t="shared" si="0"/>
        <v>681.5</v>
      </c>
      <c r="I10" s="3">
        <f t="shared" si="0"/>
        <v>668.5</v>
      </c>
      <c r="J10" s="3">
        <f t="shared" si="0"/>
        <v>602</v>
      </c>
      <c r="K10" s="3">
        <f t="shared" si="0"/>
        <v>652.5</v>
      </c>
      <c r="L10" s="3">
        <f t="shared" si="0"/>
        <v>650.5</v>
      </c>
      <c r="M10" s="3">
        <f t="shared" si="0"/>
        <v>650</v>
      </c>
      <c r="N10" s="3">
        <f t="shared" si="0"/>
        <v>769.5</v>
      </c>
      <c r="O10" s="3">
        <f t="shared" ref="O10:U10" si="1">O25/2</f>
        <v>847.5</v>
      </c>
      <c r="P10" s="3">
        <f t="shared" si="1"/>
        <v>867.5</v>
      </c>
      <c r="Q10" s="122">
        <f t="shared" si="1"/>
        <v>878</v>
      </c>
      <c r="R10" s="122">
        <f t="shared" si="1"/>
        <v>954.5</v>
      </c>
      <c r="S10" s="122">
        <f t="shared" si="1"/>
        <v>997.5</v>
      </c>
      <c r="T10" s="122">
        <f t="shared" si="1"/>
        <v>1051</v>
      </c>
      <c r="U10" s="122">
        <f t="shared" si="1"/>
        <v>1118</v>
      </c>
      <c r="V10" s="122">
        <f t="shared" ref="V10:AA10" si="2">V25/2</f>
        <v>1174.5</v>
      </c>
      <c r="W10" s="122">
        <f t="shared" si="2"/>
        <v>1217</v>
      </c>
      <c r="X10" s="122">
        <f t="shared" si="2"/>
        <v>1282.5</v>
      </c>
      <c r="Y10" s="122">
        <f>Y25/2</f>
        <v>1395.5</v>
      </c>
      <c r="Z10" s="122">
        <f t="shared" si="2"/>
        <v>1327</v>
      </c>
      <c r="AA10" s="122">
        <f t="shared" si="2"/>
        <v>1462</v>
      </c>
      <c r="AB10" s="352">
        <f>AB25/2</f>
        <v>1451</v>
      </c>
      <c r="AC10" s="79">
        <f>AC25/2</f>
        <v>1511.796875</v>
      </c>
      <c r="AD10" s="79">
        <f>AD25/2</f>
        <v>1631.0513452148434</v>
      </c>
      <c r="AE10" s="79">
        <f>AE25/2</f>
        <v>1750.202044587707</v>
      </c>
      <c r="AF10" s="241">
        <f>AF25/2</f>
        <v>1878.0037412594415</v>
      </c>
    </row>
    <row r="11" spans="1:32" s="122" customFormat="1" x14ac:dyDescent="0.2">
      <c r="A11" s="3" t="s">
        <v>219</v>
      </c>
      <c r="B11" s="3" t="s">
        <v>238</v>
      </c>
      <c r="C11" s="23" t="s">
        <v>12</v>
      </c>
      <c r="D11" s="3">
        <f>+D27/2</f>
        <v>-55.5</v>
      </c>
      <c r="E11" s="3">
        <f>+E27/2</f>
        <v>-30.5</v>
      </c>
      <c r="F11" s="3">
        <f>+F27/2</f>
        <v>-128.5</v>
      </c>
      <c r="G11" s="3">
        <f t="shared" ref="G11:N11" si="3">+G27/2</f>
        <v>-74</v>
      </c>
      <c r="H11" s="3">
        <f t="shared" si="3"/>
        <v>-146.5</v>
      </c>
      <c r="I11" s="3">
        <f t="shared" si="3"/>
        <v>-190</v>
      </c>
      <c r="J11" s="3">
        <f t="shared" si="3"/>
        <v>-219.5</v>
      </c>
      <c r="K11" s="3">
        <f t="shared" si="3"/>
        <v>-325.5</v>
      </c>
      <c r="L11" s="3">
        <f t="shared" si="3"/>
        <v>-485</v>
      </c>
      <c r="M11" s="3">
        <f t="shared" si="3"/>
        <v>-567.5</v>
      </c>
      <c r="N11" s="3">
        <f t="shared" si="3"/>
        <v>-235</v>
      </c>
      <c r="O11" s="3">
        <f t="shared" ref="O11:U11" si="4">+O27/2</f>
        <v>-246.5</v>
      </c>
      <c r="P11" s="3">
        <f t="shared" si="4"/>
        <v>-222</v>
      </c>
      <c r="Q11" s="122">
        <f t="shared" si="4"/>
        <v>-233</v>
      </c>
      <c r="R11" s="122">
        <f t="shared" si="4"/>
        <v>-233.5</v>
      </c>
      <c r="S11" s="122">
        <f t="shared" si="4"/>
        <v>-235</v>
      </c>
      <c r="T11" s="122">
        <f t="shared" si="4"/>
        <v>-355</v>
      </c>
      <c r="U11" s="122">
        <f t="shared" si="4"/>
        <v>-556.5</v>
      </c>
      <c r="V11" s="122">
        <f t="shared" ref="V11:AA11" si="5">+V27/2</f>
        <v>-458</v>
      </c>
      <c r="W11" s="122">
        <f t="shared" si="5"/>
        <v>-293.5</v>
      </c>
      <c r="X11" s="122">
        <f t="shared" si="5"/>
        <v>-245</v>
      </c>
      <c r="Y11" s="122">
        <f>+Y27/2</f>
        <v>-90.5</v>
      </c>
      <c r="Z11" s="122">
        <f t="shared" si="5"/>
        <v>35</v>
      </c>
      <c r="AA11" s="122">
        <f t="shared" si="5"/>
        <v>-156</v>
      </c>
      <c r="AB11" s="352">
        <f>+AB27/2</f>
        <v>-361.5</v>
      </c>
      <c r="AC11" s="79">
        <f>+AC27/2</f>
        <v>-681.5</v>
      </c>
      <c r="AD11" s="79">
        <f>+AD27/2</f>
        <v>-879.5</v>
      </c>
      <c r="AE11" s="79">
        <f>+AE27/2</f>
        <v>-1035.5</v>
      </c>
      <c r="AF11" s="241">
        <f>+AF27/2</f>
        <v>-1176.5</v>
      </c>
    </row>
    <row r="12" spans="1:32" s="122" customFormat="1" x14ac:dyDescent="0.2">
      <c r="A12" s="3" t="s">
        <v>221</v>
      </c>
      <c r="B12" s="3" t="s">
        <v>238</v>
      </c>
      <c r="C12" s="3">
        <f>C28/2</f>
        <v>167.3175</v>
      </c>
      <c r="D12" s="3">
        <f>D28/2</f>
        <v>209.71499999999992</v>
      </c>
      <c r="E12" s="3">
        <f>E28/2</f>
        <v>115.49624999999992</v>
      </c>
      <c r="F12" s="3">
        <f>F28/2</f>
        <v>126.546875</v>
      </c>
      <c r="G12" s="3">
        <f t="shared" ref="G12:N12" si="6">G28/2</f>
        <v>108.89374999999995</v>
      </c>
      <c r="H12" s="3">
        <f t="shared" si="6"/>
        <v>148.19374999999991</v>
      </c>
      <c r="I12" s="3">
        <f t="shared" si="6"/>
        <v>71.337500000000091</v>
      </c>
      <c r="J12" s="3">
        <f t="shared" si="6"/>
        <v>17.744374999999991</v>
      </c>
      <c r="K12" s="3">
        <f t="shared" si="6"/>
        <v>-62.928750000000036</v>
      </c>
      <c r="L12" s="3">
        <f t="shared" si="6"/>
        <v>-188.3587500000001</v>
      </c>
      <c r="M12" s="3">
        <f t="shared" si="6"/>
        <v>-353.4224999999999</v>
      </c>
      <c r="N12" s="3">
        <f t="shared" si="6"/>
        <v>-374.36000000000013</v>
      </c>
      <c r="O12" s="3">
        <f t="shared" ref="O12:U12" si="7">O28/2</f>
        <v>-249.63999999999987</v>
      </c>
      <c r="P12" s="3">
        <f t="shared" si="7"/>
        <v>-272.08000000000038</v>
      </c>
      <c r="Q12" s="122">
        <f t="shared" si="7"/>
        <v>-260.61250000000018</v>
      </c>
      <c r="R12" s="122">
        <f t="shared" si="7"/>
        <v>-280.72500000000036</v>
      </c>
      <c r="S12" s="122">
        <f t="shared" si="7"/>
        <v>-257.72499999999991</v>
      </c>
      <c r="T12" s="122">
        <f t="shared" si="7"/>
        <v>-380.67437500000005</v>
      </c>
      <c r="U12" s="122">
        <f t="shared" si="7"/>
        <v>-536.41249999999991</v>
      </c>
      <c r="V12" s="122">
        <f t="shared" ref="V12:AA12" si="8">V28/2</f>
        <v>-481.15723149999974</v>
      </c>
      <c r="W12" s="122">
        <f t="shared" si="8"/>
        <v>-396.97303771428619</v>
      </c>
      <c r="X12" s="122">
        <f t="shared" si="8"/>
        <v>-494.84393299999982</v>
      </c>
      <c r="Y12" s="122">
        <f>Y28/2</f>
        <v>-387.45359291741045</v>
      </c>
      <c r="Z12" s="122">
        <f t="shared" si="8"/>
        <v>-457.49710000000005</v>
      </c>
      <c r="AA12" s="122">
        <f t="shared" si="8"/>
        <v>-706.66712350000023</v>
      </c>
      <c r="AB12" s="352">
        <f>AB28/2</f>
        <v>-938.66125000000056</v>
      </c>
      <c r="AC12" s="79">
        <f>AC28/2</f>
        <v>-1253.5258000255046</v>
      </c>
      <c r="AD12" s="79">
        <f>AD28/2</f>
        <v>-1542.6691548070423</v>
      </c>
      <c r="AE12" s="79">
        <f>AE28/2</f>
        <v>-1795.3553739037395</v>
      </c>
      <c r="AF12" s="241">
        <f>AF28/2</f>
        <v>-2023.2121335291383</v>
      </c>
    </row>
    <row r="13" spans="1:32" s="122" customFormat="1" x14ac:dyDescent="0.2">
      <c r="A13" s="3" t="s">
        <v>222</v>
      </c>
      <c r="B13" s="3" t="s">
        <v>238</v>
      </c>
      <c r="C13" s="3">
        <f t="shared" ref="C13:F14" si="9">+C29/2</f>
        <v>0</v>
      </c>
      <c r="D13" s="3">
        <f t="shared" si="9"/>
        <v>0</v>
      </c>
      <c r="E13" s="3">
        <f t="shared" si="9"/>
        <v>0</v>
      </c>
      <c r="F13" s="3">
        <f t="shared" si="9"/>
        <v>0</v>
      </c>
      <c r="G13" s="3">
        <f t="shared" ref="G13:N13" si="10">+G29/2</f>
        <v>0</v>
      </c>
      <c r="H13" s="3">
        <f t="shared" si="10"/>
        <v>0</v>
      </c>
      <c r="I13" s="3">
        <f t="shared" si="10"/>
        <v>129</v>
      </c>
      <c r="J13" s="3">
        <f t="shared" si="10"/>
        <v>1006.5</v>
      </c>
      <c r="K13" s="3">
        <f t="shared" si="10"/>
        <v>0</v>
      </c>
      <c r="L13" s="3">
        <f t="shared" si="10"/>
        <v>0</v>
      </c>
      <c r="M13" s="3">
        <f t="shared" si="10"/>
        <v>0</v>
      </c>
      <c r="N13" s="3">
        <f t="shared" si="10"/>
        <v>2259.5</v>
      </c>
      <c r="O13" s="3">
        <f t="shared" ref="O13:P15" si="11">+O29/2</f>
        <v>0</v>
      </c>
      <c r="P13" s="3">
        <f t="shared" si="11"/>
        <v>0</v>
      </c>
      <c r="Q13" s="122">
        <f t="shared" ref="Q13:U14" si="12">+Q29/2</f>
        <v>0</v>
      </c>
      <c r="R13" s="122">
        <f t="shared" si="12"/>
        <v>0</v>
      </c>
      <c r="S13" s="122">
        <f t="shared" si="12"/>
        <v>0</v>
      </c>
      <c r="T13" s="122">
        <f t="shared" si="12"/>
        <v>0</v>
      </c>
      <c r="U13" s="122">
        <f t="shared" si="12"/>
        <v>0</v>
      </c>
      <c r="V13" s="122">
        <f t="shared" ref="V13:X15" si="13">+V29/2</f>
        <v>0</v>
      </c>
      <c r="W13" s="122">
        <f t="shared" si="13"/>
        <v>0</v>
      </c>
      <c r="X13" s="122">
        <f t="shared" si="13"/>
        <v>0</v>
      </c>
      <c r="Y13" s="122">
        <f>+Y29/2</f>
        <v>0</v>
      </c>
      <c r="Z13" s="122">
        <f t="shared" ref="Y13:Z15" si="14">+Z29/2</f>
        <v>0</v>
      </c>
      <c r="AA13" s="122">
        <f t="shared" ref="AA13:AB15" si="15">+AA29/2</f>
        <v>0</v>
      </c>
      <c r="AB13" s="352">
        <f t="shared" si="15"/>
        <v>0</v>
      </c>
      <c r="AC13" s="79">
        <f t="shared" ref="AC13:AD15" si="16">+AC29/2</f>
        <v>0</v>
      </c>
      <c r="AD13" s="79">
        <f t="shared" si="16"/>
        <v>0</v>
      </c>
      <c r="AE13" s="79">
        <f t="shared" ref="AE13:AF13" si="17">+AE29/2</f>
        <v>0</v>
      </c>
      <c r="AF13" s="241">
        <f t="shared" si="17"/>
        <v>0</v>
      </c>
    </row>
    <row r="14" spans="1:32" s="122" customFormat="1" x14ac:dyDescent="0.2">
      <c r="A14" s="3" t="s">
        <v>206</v>
      </c>
      <c r="B14" s="3" t="s">
        <v>238</v>
      </c>
      <c r="C14" s="3">
        <f t="shared" si="9"/>
        <v>0</v>
      </c>
      <c r="D14" s="3">
        <f t="shared" si="9"/>
        <v>0</v>
      </c>
      <c r="E14" s="3">
        <f t="shared" si="9"/>
        <v>0</v>
      </c>
      <c r="F14" s="3">
        <f t="shared" si="9"/>
        <v>0</v>
      </c>
      <c r="G14" s="3">
        <f t="shared" ref="G14:N14" si="18">+G30/2</f>
        <v>0</v>
      </c>
      <c r="H14" s="3">
        <f t="shared" si="18"/>
        <v>0</v>
      </c>
      <c r="I14" s="3">
        <f t="shared" si="18"/>
        <v>250</v>
      </c>
      <c r="J14" s="3">
        <f t="shared" si="18"/>
        <v>-250</v>
      </c>
      <c r="K14" s="3">
        <f t="shared" si="18"/>
        <v>0</v>
      </c>
      <c r="L14" s="3">
        <f t="shared" si="18"/>
        <v>0</v>
      </c>
      <c r="M14" s="3">
        <f t="shared" si="18"/>
        <v>0</v>
      </c>
      <c r="N14" s="3">
        <f t="shared" si="18"/>
        <v>0</v>
      </c>
      <c r="O14" s="3">
        <f t="shared" si="11"/>
        <v>0</v>
      </c>
      <c r="P14" s="3">
        <f t="shared" si="11"/>
        <v>0</v>
      </c>
      <c r="Q14" s="122">
        <f t="shared" si="12"/>
        <v>0</v>
      </c>
      <c r="R14" s="122">
        <f t="shared" si="12"/>
        <v>0</v>
      </c>
      <c r="S14" s="122">
        <f t="shared" si="12"/>
        <v>0</v>
      </c>
      <c r="T14" s="122">
        <f t="shared" si="12"/>
        <v>0</v>
      </c>
      <c r="U14" s="122">
        <f t="shared" si="12"/>
        <v>0</v>
      </c>
      <c r="V14" s="122">
        <f t="shared" si="13"/>
        <v>0</v>
      </c>
      <c r="W14" s="122">
        <f t="shared" si="13"/>
        <v>0</v>
      </c>
      <c r="X14" s="122">
        <f t="shared" si="13"/>
        <v>0</v>
      </c>
      <c r="Y14" s="122">
        <f t="shared" si="14"/>
        <v>0</v>
      </c>
      <c r="Z14" s="122">
        <f t="shared" si="14"/>
        <v>0</v>
      </c>
      <c r="AA14" s="122">
        <f t="shared" si="15"/>
        <v>0</v>
      </c>
      <c r="AB14" s="352">
        <f t="shared" si="15"/>
        <v>0</v>
      </c>
      <c r="AC14" s="79">
        <f t="shared" si="16"/>
        <v>0</v>
      </c>
      <c r="AD14" s="79">
        <f t="shared" si="16"/>
        <v>0</v>
      </c>
      <c r="AE14" s="79">
        <f t="shared" ref="AE14:AF14" si="19">+AE30/2</f>
        <v>0</v>
      </c>
      <c r="AF14" s="241">
        <f t="shared" si="19"/>
        <v>0</v>
      </c>
    </row>
    <row r="15" spans="1:32" s="122" customFormat="1" x14ac:dyDescent="0.2">
      <c r="A15" s="3" t="s">
        <v>247</v>
      </c>
      <c r="B15" s="3" t="s">
        <v>238</v>
      </c>
      <c r="C15" s="3">
        <f>+C31/2</f>
        <v>0</v>
      </c>
      <c r="D15" s="3">
        <f>+D31/2</f>
        <v>0</v>
      </c>
      <c r="E15" s="3">
        <f>+E31/2</f>
        <v>0</v>
      </c>
      <c r="F15" s="3">
        <f>+F31/2</f>
        <v>0</v>
      </c>
      <c r="G15" s="3">
        <f t="shared" ref="G15:N15" si="20">+G31/2</f>
        <v>0</v>
      </c>
      <c r="H15" s="3">
        <f t="shared" si="20"/>
        <v>0</v>
      </c>
      <c r="I15" s="3">
        <f t="shared" si="20"/>
        <v>-379</v>
      </c>
      <c r="J15" s="3">
        <f t="shared" si="20"/>
        <v>-756.5</v>
      </c>
      <c r="K15" s="3">
        <f t="shared" si="20"/>
        <v>0</v>
      </c>
      <c r="L15" s="3">
        <f t="shared" si="20"/>
        <v>0</v>
      </c>
      <c r="M15" s="3">
        <f t="shared" si="20"/>
        <v>0</v>
      </c>
      <c r="N15" s="3">
        <f t="shared" si="20"/>
        <v>-2259.5</v>
      </c>
      <c r="O15" s="3">
        <f t="shared" si="11"/>
        <v>0</v>
      </c>
      <c r="P15" s="3">
        <f t="shared" si="11"/>
        <v>0</v>
      </c>
      <c r="Q15" s="122">
        <f>+Q31/2</f>
        <v>0</v>
      </c>
      <c r="R15" s="122">
        <f>+R31/2</f>
        <v>0</v>
      </c>
      <c r="S15" s="122">
        <f>+S31/2</f>
        <v>0</v>
      </c>
      <c r="T15" s="122">
        <f>+T31/2</f>
        <v>0</v>
      </c>
      <c r="U15" s="122">
        <f>+U31/2</f>
        <v>0</v>
      </c>
      <c r="V15" s="122">
        <f t="shared" si="13"/>
        <v>0</v>
      </c>
      <c r="W15" s="122">
        <f t="shared" si="13"/>
        <v>0</v>
      </c>
      <c r="X15" s="122">
        <f t="shared" si="13"/>
        <v>0</v>
      </c>
      <c r="Y15" s="122">
        <f t="shared" si="14"/>
        <v>0</v>
      </c>
      <c r="Z15" s="122">
        <f t="shared" si="14"/>
        <v>0</v>
      </c>
      <c r="AA15" s="122">
        <f t="shared" si="15"/>
        <v>0</v>
      </c>
      <c r="AB15" s="352">
        <f t="shared" si="15"/>
        <v>0</v>
      </c>
      <c r="AC15" s="79">
        <f t="shared" si="16"/>
        <v>0</v>
      </c>
      <c r="AD15" s="79">
        <f t="shared" si="16"/>
        <v>0</v>
      </c>
      <c r="AE15" s="79">
        <f t="shared" ref="AE15:AF15" si="21">+AE31/2</f>
        <v>0</v>
      </c>
      <c r="AF15" s="241">
        <f t="shared" si="21"/>
        <v>0</v>
      </c>
    </row>
    <row r="16" spans="1:32" s="122" customFormat="1" x14ac:dyDescent="0.2">
      <c r="A16" s="3" t="s">
        <v>246</v>
      </c>
      <c r="B16" s="3" t="s">
        <v>239</v>
      </c>
      <c r="C16" s="3">
        <f>'initial ufl'!C10*-1</f>
        <v>0</v>
      </c>
      <c r="D16" s="3">
        <f>'initial ufl'!D10*-1</f>
        <v>0</v>
      </c>
      <c r="E16" s="3">
        <f>'initial ufl'!E10*-1</f>
        <v>0</v>
      </c>
      <c r="F16" s="3">
        <f>'initial ufl'!F10*-1</f>
        <v>-174</v>
      </c>
      <c r="G16" s="3">
        <f>'initial ufl'!G10*-1</f>
        <v>-174</v>
      </c>
      <c r="H16" s="3">
        <f>'initial ufl'!H10*-1</f>
        <v>-174</v>
      </c>
      <c r="I16" s="3">
        <f>'initial ufl'!I10*-1</f>
        <v>-174</v>
      </c>
      <c r="J16" s="3">
        <f>'initial ufl'!J10*-1</f>
        <v>-174</v>
      </c>
      <c r="K16" s="3">
        <f>'initial ufl'!K10*-1</f>
        <v>-174</v>
      </c>
      <c r="L16" s="3">
        <f>'initial ufl'!L10*-1</f>
        <v>-174</v>
      </c>
      <c r="M16" s="3">
        <f>'initial ufl'!M10*-1</f>
        <v>-174</v>
      </c>
      <c r="N16" s="3">
        <f>'initial ufl'!N10*-1</f>
        <v>-174</v>
      </c>
      <c r="O16" s="3">
        <f>'initial ufl'!O10*-1</f>
        <v>-174</v>
      </c>
      <c r="P16" s="3">
        <f>'initial ufl'!P10*-1</f>
        <v>-174</v>
      </c>
      <c r="Q16" s="122">
        <f>'initial ufl'!Q10*-1</f>
        <v>-174</v>
      </c>
      <c r="R16" s="122">
        <f>'initial ufl'!R10*-1</f>
        <v>-174</v>
      </c>
      <c r="S16" s="122">
        <f>'initial ufl'!S10*-1</f>
        <v>-176</v>
      </c>
      <c r="T16" s="122">
        <f>'initial ufl'!T10*-1</f>
        <v>0</v>
      </c>
      <c r="U16" s="122">
        <f>'initial ufl'!U10*-1</f>
        <v>0</v>
      </c>
      <c r="V16" s="122">
        <f>'initial ufl'!V10*-1</f>
        <v>0</v>
      </c>
      <c r="W16" s="122">
        <f>'initial ufl'!W10*-1</f>
        <v>0</v>
      </c>
      <c r="X16" s="122">
        <f>'initial ufl'!X10*-1</f>
        <v>0</v>
      </c>
      <c r="Y16" s="122">
        <f>'initial ufl'!Y10*-1</f>
        <v>0</v>
      </c>
      <c r="Z16" s="122">
        <f>'initial ufl'!Z10*-1</f>
        <v>0</v>
      </c>
      <c r="AA16" s="122">
        <f>'initial ufl'!AA10*-1</f>
        <v>0</v>
      </c>
      <c r="AB16" s="352">
        <f>'initial ufl'!AB10*-1</f>
        <v>0</v>
      </c>
      <c r="AC16" s="79">
        <f>'initial ufl'!AC10*-1</f>
        <v>0</v>
      </c>
      <c r="AD16" s="79">
        <f>'initial ufl'!AD10*-1</f>
        <v>0</v>
      </c>
      <c r="AE16" s="79">
        <f>'initial ufl'!AE10*-1</f>
        <v>0</v>
      </c>
      <c r="AF16" s="241">
        <f>'initial ufl'!AF10*-1</f>
        <v>0</v>
      </c>
    </row>
    <row r="17" spans="1:32" s="122" customFormat="1" x14ac:dyDescent="0.2">
      <c r="A17" s="158" t="s">
        <v>342</v>
      </c>
      <c r="B17" s="158" t="s">
        <v>238</v>
      </c>
      <c r="C17" s="158"/>
      <c r="D17" s="158"/>
      <c r="E17" s="158"/>
      <c r="F17" s="158"/>
      <c r="G17" s="158"/>
      <c r="H17" s="158"/>
      <c r="I17" s="158"/>
      <c r="J17" s="158"/>
      <c r="K17" s="158"/>
      <c r="L17" s="158"/>
      <c r="M17" s="158"/>
      <c r="N17" s="158"/>
      <c r="O17" s="158"/>
      <c r="P17" s="158"/>
      <c r="Q17" s="158"/>
      <c r="R17" s="158"/>
      <c r="S17" s="158">
        <f t="shared" ref="S17:X17" si="22">S33/2</f>
        <v>-5.5147058823529411</v>
      </c>
      <c r="T17" s="122">
        <f t="shared" si="22"/>
        <v>-5.5147058823529411</v>
      </c>
      <c r="U17" s="122">
        <f t="shared" si="22"/>
        <v>-5.5147058823529411</v>
      </c>
      <c r="V17" s="122">
        <f t="shared" si="22"/>
        <v>-5.5147058823529411</v>
      </c>
      <c r="W17" s="122">
        <f t="shared" si="22"/>
        <v>-5.5147058823529411</v>
      </c>
      <c r="X17" s="122">
        <f t="shared" si="22"/>
        <v>-5.5147058823529411</v>
      </c>
      <c r="Y17" s="122">
        <f t="shared" ref="Y17:AD17" si="23">Y33/2</f>
        <v>-5.5147058823529411</v>
      </c>
      <c r="Z17" s="122">
        <f t="shared" si="23"/>
        <v>-5.5147058823529411</v>
      </c>
      <c r="AA17" s="122">
        <f t="shared" si="23"/>
        <v>-5.5147058823529411</v>
      </c>
      <c r="AB17" s="352">
        <f t="shared" si="23"/>
        <v>-5.5147058823529411</v>
      </c>
      <c r="AC17" s="79">
        <f t="shared" si="23"/>
        <v>-5.0147058823529411</v>
      </c>
      <c r="AD17" s="79">
        <f t="shared" si="23"/>
        <v>-5.0147058823529411</v>
      </c>
      <c r="AE17" s="79">
        <f t="shared" ref="AE17:AF17" si="24">AE33/2</f>
        <v>-5.0147058823529411</v>
      </c>
      <c r="AF17" s="241">
        <f t="shared" si="24"/>
        <v>-5.0147058823529411</v>
      </c>
    </row>
    <row r="18" spans="1:32" s="122" customFormat="1" x14ac:dyDescent="0.2">
      <c r="A18" s="3" t="s">
        <v>237</v>
      </c>
      <c r="B18" s="3" t="s">
        <v>240</v>
      </c>
      <c r="C18" s="24" t="s">
        <v>12</v>
      </c>
      <c r="D18" s="24" t="s">
        <v>12</v>
      </c>
      <c r="E18" s="24" t="s">
        <v>12</v>
      </c>
      <c r="F18" s="6">
        <f>contributions!C47</f>
        <v>-10</v>
      </c>
      <c r="G18" s="6">
        <f>contributions!D47</f>
        <v>-16</v>
      </c>
      <c r="H18" s="6">
        <f>contributions!E47</f>
        <v>-13</v>
      </c>
      <c r="I18" s="6">
        <f>contributions!F47</f>
        <v>-1</v>
      </c>
      <c r="J18" s="6">
        <f>contributions!G47</f>
        <v>18</v>
      </c>
      <c r="K18" s="6">
        <f>contributions!H47</f>
        <v>36</v>
      </c>
      <c r="L18" s="6">
        <f>contributions!I47</f>
        <v>39</v>
      </c>
      <c r="M18" s="6">
        <f>contributions!J47</f>
        <v>40</v>
      </c>
      <c r="N18" s="6">
        <f>contributions!K47</f>
        <v>43</v>
      </c>
      <c r="O18" s="6">
        <f>contributions!L47</f>
        <v>44</v>
      </c>
      <c r="P18" s="6">
        <f>contributions!M47</f>
        <v>42</v>
      </c>
      <c r="Q18" s="126">
        <f>contributions!N47</f>
        <v>40</v>
      </c>
      <c r="R18" s="126">
        <f>contributions!O47</f>
        <v>39</v>
      </c>
      <c r="S18" s="126">
        <f>contributions!P47</f>
        <v>36</v>
      </c>
      <c r="T18" s="126">
        <f>contributions!Q47</f>
        <v>44</v>
      </c>
      <c r="U18" s="126">
        <f>contributions!R47</f>
        <v>40</v>
      </c>
      <c r="V18" s="126">
        <f>contributions!S47</f>
        <v>36</v>
      </c>
      <c r="W18" s="126">
        <f>contributions!T47</f>
        <v>2</v>
      </c>
      <c r="X18" s="126">
        <f>contributions!U47</f>
        <v>-18</v>
      </c>
      <c r="Y18" s="126">
        <f>contributions!V47</f>
        <v>-20</v>
      </c>
      <c r="Z18" s="126">
        <f>contributions!W47</f>
        <v>-24</v>
      </c>
      <c r="AA18" s="126">
        <f>contributions!X47</f>
        <v>-25</v>
      </c>
      <c r="AB18" s="353">
        <f>contributions!Y47</f>
        <v>-27</v>
      </c>
      <c r="AC18" s="81">
        <f>contributions!Z47</f>
        <v>-30</v>
      </c>
      <c r="AD18" s="81">
        <f>contributions!AA47</f>
        <v>-29.526283531938638</v>
      </c>
      <c r="AE18" s="81">
        <f>contributions!AB47</f>
        <v>-31.073229998744214</v>
      </c>
      <c r="AF18" s="242">
        <f>contributions!AC47</f>
        <v>-31.638746497631519</v>
      </c>
    </row>
    <row r="19" spans="1:32" s="216" customFormat="1" ht="16.5" thickBot="1" x14ac:dyDescent="0.3">
      <c r="A19" s="52" t="s">
        <v>306</v>
      </c>
      <c r="B19" s="9" t="s">
        <v>241</v>
      </c>
      <c r="C19" s="54">
        <f>SUM(C10:C18)</f>
        <v>632.3175</v>
      </c>
      <c r="D19" s="54">
        <f>SUM(D10:D18)</f>
        <v>744.21499999999992</v>
      </c>
      <c r="E19" s="54">
        <f>SUM(E10:E18)</f>
        <v>678.99624999999992</v>
      </c>
      <c r="F19" s="54">
        <f>SUM(F10:F18)</f>
        <v>399.046875</v>
      </c>
      <c r="G19" s="54">
        <f t="shared" ref="G19:N19" si="25">SUM(G10:G18)</f>
        <v>490.89374999999995</v>
      </c>
      <c r="H19" s="54">
        <f t="shared" si="25"/>
        <v>496.19374999999991</v>
      </c>
      <c r="I19" s="54">
        <f t="shared" si="25"/>
        <v>374.83750000000009</v>
      </c>
      <c r="J19" s="54">
        <f t="shared" si="25"/>
        <v>244.24437499999999</v>
      </c>
      <c r="K19" s="54">
        <f t="shared" si="25"/>
        <v>126.07124999999996</v>
      </c>
      <c r="L19" s="54">
        <f t="shared" si="25"/>
        <v>-157.8587500000001</v>
      </c>
      <c r="M19" s="54">
        <f t="shared" si="25"/>
        <v>-404.9224999999999</v>
      </c>
      <c r="N19" s="54">
        <f t="shared" si="25"/>
        <v>29.139999999999873</v>
      </c>
      <c r="O19" s="54">
        <f t="shared" ref="O19:AD19" si="26">SUM(O10:O18)</f>
        <v>221.36000000000013</v>
      </c>
      <c r="P19" s="54">
        <f t="shared" si="26"/>
        <v>241.41999999999962</v>
      </c>
      <c r="Q19" s="127">
        <f t="shared" si="26"/>
        <v>250.38749999999982</v>
      </c>
      <c r="R19" s="127">
        <f t="shared" si="26"/>
        <v>305.27499999999964</v>
      </c>
      <c r="S19" s="127">
        <f t="shared" si="26"/>
        <v>359.26029411764716</v>
      </c>
      <c r="T19" s="127">
        <f t="shared" si="26"/>
        <v>353.81091911764702</v>
      </c>
      <c r="U19" s="127">
        <f t="shared" si="26"/>
        <v>59.572794117647149</v>
      </c>
      <c r="V19" s="127">
        <f t="shared" si="26"/>
        <v>265.82806261764733</v>
      </c>
      <c r="W19" s="127">
        <f t="shared" si="26"/>
        <v>523.01225640336088</v>
      </c>
      <c r="X19" s="127">
        <f t="shared" si="26"/>
        <v>519.14136111764719</v>
      </c>
      <c r="Y19" s="127">
        <f t="shared" si="26"/>
        <v>892.03170120023663</v>
      </c>
      <c r="Z19" s="127">
        <f t="shared" si="26"/>
        <v>874.98819411764703</v>
      </c>
      <c r="AA19" s="127">
        <f t="shared" si="26"/>
        <v>568.81817061764684</v>
      </c>
      <c r="AB19" s="373">
        <f t="shared" si="26"/>
        <v>118.32404411764651</v>
      </c>
      <c r="AC19" s="99">
        <f t="shared" si="26"/>
        <v>-458.24363090785755</v>
      </c>
      <c r="AD19" s="99">
        <f t="shared" si="26"/>
        <v>-825.65879900649043</v>
      </c>
      <c r="AE19" s="99">
        <f t="shared" ref="AE19:AF19" si="27">SUM(AE10:AE18)</f>
        <v>-1116.7412651971297</v>
      </c>
      <c r="AF19" s="271">
        <f t="shared" si="27"/>
        <v>-1358.3618446496812</v>
      </c>
    </row>
    <row r="20" spans="1:32" s="122" customFormat="1" ht="13.5" thickTop="1" x14ac:dyDescent="0.2">
      <c r="A20" s="3"/>
      <c r="B20" s="3"/>
      <c r="C20" s="3"/>
      <c r="D20" s="3"/>
      <c r="E20" s="3"/>
      <c r="F20" s="3"/>
      <c r="G20" s="3"/>
      <c r="H20" s="3"/>
      <c r="I20" s="3"/>
      <c r="J20" s="3"/>
      <c r="K20" s="3"/>
      <c r="L20" s="3"/>
      <c r="M20" s="3"/>
      <c r="N20" s="3"/>
      <c r="O20" s="3"/>
      <c r="P20" s="3"/>
      <c r="AB20" s="352"/>
      <c r="AC20" s="79"/>
      <c r="AD20" s="79"/>
      <c r="AE20" s="79"/>
      <c r="AF20" s="241"/>
    </row>
    <row r="21" spans="1:32" s="122" customFormat="1" x14ac:dyDescent="0.2">
      <c r="A21" s="3"/>
      <c r="B21" s="3"/>
      <c r="C21" s="3"/>
      <c r="D21" s="3"/>
      <c r="E21" s="3"/>
      <c r="F21" s="3"/>
      <c r="G21" s="3"/>
      <c r="H21" s="3"/>
      <c r="I21" s="3"/>
      <c r="J21" s="3"/>
      <c r="K21" s="3"/>
      <c r="L21" s="3"/>
      <c r="M21" s="3"/>
      <c r="N21" s="3" t="s">
        <v>307</v>
      </c>
      <c r="O21" s="3">
        <f t="shared" ref="O21:AB21" si="28">O19*1000000</f>
        <v>221360000.00000012</v>
      </c>
      <c r="P21" s="3">
        <f t="shared" si="28"/>
        <v>241419999.99999961</v>
      </c>
      <c r="Q21" s="3">
        <f t="shared" si="28"/>
        <v>250387499.99999982</v>
      </c>
      <c r="R21" s="3">
        <f t="shared" si="28"/>
        <v>305274999.99999964</v>
      </c>
      <c r="S21" s="3">
        <f t="shared" si="28"/>
        <v>359260294.11764717</v>
      </c>
      <c r="T21" s="3">
        <f t="shared" si="28"/>
        <v>353810919.11764699</v>
      </c>
      <c r="U21" s="122">
        <f t="shared" si="28"/>
        <v>59572794.117647149</v>
      </c>
      <c r="V21" s="122">
        <f t="shared" si="28"/>
        <v>265828062.61764732</v>
      </c>
      <c r="W21" s="122">
        <f t="shared" si="28"/>
        <v>523012256.4033609</v>
      </c>
      <c r="X21" s="122">
        <f t="shared" si="28"/>
        <v>519141361.11764717</v>
      </c>
      <c r="Y21" s="122">
        <f t="shared" si="28"/>
        <v>892031701.20023668</v>
      </c>
      <c r="Z21" s="122">
        <f t="shared" si="28"/>
        <v>874988194.11764705</v>
      </c>
      <c r="AA21" s="122">
        <f t="shared" si="28"/>
        <v>568818170.61764681</v>
      </c>
      <c r="AB21" s="499">
        <f t="shared" si="28"/>
        <v>118324044.11764652</v>
      </c>
      <c r="AC21" s="79"/>
      <c r="AD21" s="79"/>
      <c r="AE21" s="79"/>
      <c r="AF21" s="241"/>
    </row>
    <row r="22" spans="1:32" s="122" customFormat="1" x14ac:dyDescent="0.2">
      <c r="A22" s="3"/>
      <c r="B22" s="3"/>
      <c r="C22" s="3"/>
      <c r="D22" s="3"/>
      <c r="E22" s="3"/>
      <c r="F22" s="3"/>
      <c r="G22" s="3"/>
      <c r="H22" s="3"/>
      <c r="I22" s="3"/>
      <c r="J22" s="3"/>
      <c r="K22" s="3"/>
      <c r="L22" s="3"/>
      <c r="M22" s="3"/>
      <c r="N22" s="3"/>
      <c r="O22" s="3"/>
      <c r="P22" s="3"/>
      <c r="AB22" s="352"/>
      <c r="AC22" s="79"/>
      <c r="AD22" s="79"/>
      <c r="AE22" s="79"/>
      <c r="AF22" s="241"/>
    </row>
    <row r="23" spans="1:32" s="122" customFormat="1" x14ac:dyDescent="0.2">
      <c r="A23" s="53" t="s">
        <v>242</v>
      </c>
      <c r="B23" s="3"/>
      <c r="C23" s="3"/>
      <c r="D23" s="3"/>
      <c r="E23" s="3"/>
      <c r="F23" s="3"/>
      <c r="G23" s="3"/>
      <c r="H23" s="3"/>
      <c r="I23" s="3"/>
      <c r="J23" s="3"/>
      <c r="K23" s="3"/>
      <c r="L23" s="3"/>
      <c r="M23" s="3"/>
      <c r="N23" s="3"/>
      <c r="O23" s="3"/>
      <c r="P23" s="3"/>
      <c r="AB23" s="352"/>
      <c r="AC23" s="79"/>
      <c r="AD23" s="79"/>
      <c r="AE23" s="79"/>
      <c r="AF23" s="241"/>
    </row>
    <row r="24" spans="1:32" s="122" customFormat="1" x14ac:dyDescent="0.2">
      <c r="A24" s="3"/>
      <c r="B24" s="3"/>
      <c r="C24" s="3"/>
      <c r="D24" s="3"/>
      <c r="E24" s="3"/>
      <c r="F24" s="3"/>
      <c r="G24" s="3"/>
      <c r="H24" s="3"/>
      <c r="I24" s="3"/>
      <c r="J24" s="3"/>
      <c r="K24" s="3"/>
      <c r="L24" s="3"/>
      <c r="M24" s="3"/>
      <c r="N24" s="3"/>
      <c r="O24" s="3"/>
      <c r="P24" s="3"/>
      <c r="AB24" s="352"/>
      <c r="AC24" s="79"/>
      <c r="AD24" s="79"/>
      <c r="AE24" s="79"/>
      <c r="AF24" s="241"/>
    </row>
    <row r="25" spans="1:32" s="122" customFormat="1" x14ac:dyDescent="0.2">
      <c r="A25" s="3" t="s">
        <v>218</v>
      </c>
      <c r="B25" s="3" t="s">
        <v>201</v>
      </c>
      <c r="C25" s="45">
        <f>'Data Input'!D14</f>
        <v>930</v>
      </c>
      <c r="D25" s="45">
        <f>'Data Input'!E14</f>
        <v>1180</v>
      </c>
      <c r="E25" s="45">
        <f>'Data Input'!F14</f>
        <v>1188</v>
      </c>
      <c r="F25" s="45">
        <f>'Data Input'!G14</f>
        <v>1170</v>
      </c>
      <c r="G25" s="45">
        <f>'Data Input'!H14</f>
        <v>1292</v>
      </c>
      <c r="H25" s="45">
        <f>'Data Input'!I14</f>
        <v>1363</v>
      </c>
      <c r="I25" s="45">
        <f>'Data Input'!J14</f>
        <v>1337</v>
      </c>
      <c r="J25" s="45">
        <f>'Data Input'!K14</f>
        <v>1204</v>
      </c>
      <c r="K25" s="45">
        <f>'Data Input'!L14</f>
        <v>1305</v>
      </c>
      <c r="L25" s="45">
        <f>'Data Input'!M14</f>
        <v>1301</v>
      </c>
      <c r="M25" s="45">
        <f>'Data Input'!N14</f>
        <v>1300</v>
      </c>
      <c r="N25" s="45">
        <f>'Data Input'!O14</f>
        <v>1539</v>
      </c>
      <c r="O25" s="45">
        <f>'Data Input'!P14</f>
        <v>1695</v>
      </c>
      <c r="P25" s="45">
        <f>'Data Input'!Q14</f>
        <v>1735</v>
      </c>
      <c r="Q25" s="128">
        <f>'Data Input'!R14</f>
        <v>1756</v>
      </c>
      <c r="R25" s="128">
        <f>'Data Input'!S14</f>
        <v>1909</v>
      </c>
      <c r="S25" s="128">
        <f>'Data Input'!T14</f>
        <v>1995</v>
      </c>
      <c r="T25" s="128">
        <f>'Data Input'!U14</f>
        <v>2102</v>
      </c>
      <c r="U25" s="128">
        <f>'Data Input'!V14</f>
        <v>2236</v>
      </c>
      <c r="V25" s="128">
        <f>'Data Input'!W14</f>
        <v>2349</v>
      </c>
      <c r="W25" s="128">
        <f>'Data Input'!X14</f>
        <v>2434</v>
      </c>
      <c r="X25" s="128">
        <f>'Data Input'!Y14</f>
        <v>2565</v>
      </c>
      <c r="Y25" s="128">
        <f>'Data Input'!Z14</f>
        <v>2791</v>
      </c>
      <c r="Z25" s="128">
        <f>'Data Input'!AA14</f>
        <v>2654</v>
      </c>
      <c r="AA25" s="128">
        <f>'Data Input'!AB14</f>
        <v>2924</v>
      </c>
      <c r="AB25" s="374">
        <f>'Data Input'!AC14</f>
        <v>2902</v>
      </c>
      <c r="AC25" s="100">
        <f>'Data Input'!AD14</f>
        <v>3023.59375</v>
      </c>
      <c r="AD25" s="100">
        <f>'Data Input'!AE14</f>
        <v>3262.1026904296868</v>
      </c>
      <c r="AE25" s="100">
        <f>'Data Input'!AF14</f>
        <v>3500.4040891754139</v>
      </c>
      <c r="AF25" s="272">
        <f>'Data Input'!AG14</f>
        <v>3756.0074825188831</v>
      </c>
    </row>
    <row r="26" spans="1:32" s="122" customFormat="1" x14ac:dyDescent="0.2">
      <c r="A26" s="3" t="s">
        <v>225</v>
      </c>
      <c r="B26" s="3" t="s">
        <v>201</v>
      </c>
      <c r="C26" s="3">
        <f>('Data Input'!D32+'Data Input'!D33)*-1</f>
        <v>-534</v>
      </c>
      <c r="D26" s="3">
        <f>('Data Input'!E32+'Data Input'!E33)*-1</f>
        <v>-606</v>
      </c>
      <c r="E26" s="3">
        <f>('Data Input'!F32+'Data Input'!F33)*-1</f>
        <v>-720</v>
      </c>
      <c r="F26" s="3">
        <f>('Data Input'!G32+'Data Input'!G33)*-1</f>
        <v>-698</v>
      </c>
      <c r="G26" s="3">
        <f>('Data Input'!H32+'Data Input'!H33)*-1</f>
        <v>-719</v>
      </c>
      <c r="H26" s="3">
        <f>('Data Input'!I32+'Data Input'!I33)*-1</f>
        <v>-626</v>
      </c>
      <c r="I26" s="3">
        <f>('Data Input'!J32+'Data Input'!J33)*-1</f>
        <v>-619</v>
      </c>
      <c r="J26" s="3">
        <f>('Data Input'!K32+'Data Input'!K33)*-1</f>
        <v>-590</v>
      </c>
      <c r="K26" s="3">
        <f>('Data Input'!L32+'Data Input'!L33)*-1</f>
        <v>-621</v>
      </c>
      <c r="L26" s="3">
        <f>('Data Input'!M32+'Data Input'!M33)*-1</f>
        <v>-629</v>
      </c>
      <c r="M26" s="3">
        <f>('Data Input'!N32+'Data Input'!N33)*-1</f>
        <v>-624</v>
      </c>
      <c r="N26" s="3">
        <f>('Data Input'!O32+'Data Input'!O33)*-1</f>
        <v>-638</v>
      </c>
      <c r="O26" s="3">
        <f>('Data Input'!P32+'Data Input'!P33)*-1</f>
        <v>-675</v>
      </c>
      <c r="P26" s="3">
        <f>('Data Input'!Q32+'Data Input'!Q33)*-1</f>
        <v>-705</v>
      </c>
      <c r="Q26" s="122">
        <f>('Data Input'!R32+'Data Input'!R33)*-1</f>
        <v>-737</v>
      </c>
      <c r="R26" s="122">
        <f>('Data Input'!S32+'Data Input'!S33)*-1</f>
        <v>-784</v>
      </c>
      <c r="S26" s="122">
        <f>('Data Input'!T32+'Data Input'!T33)*-1</f>
        <v>-809</v>
      </c>
      <c r="T26" s="122">
        <f>('Data Input'!U32+'Data Input'!U33)*-1</f>
        <v>-1059</v>
      </c>
      <c r="U26" s="122">
        <f>('Data Input'!V32+'Data Input'!V33)*-1</f>
        <v>-1138</v>
      </c>
      <c r="V26" s="122">
        <f>('Data Input'!W32+'Data Input'!W33)*-1</f>
        <v>-1302</v>
      </c>
      <c r="W26" s="122">
        <f>('Data Input'!X32+'Data Input'!X33)*-1</f>
        <v>-1338.1948571428572</v>
      </c>
      <c r="X26" s="122">
        <f>('Data Input'!Y32+'Data Input'!Y33)*-1</f>
        <v>-1403</v>
      </c>
      <c r="Y26" s="122">
        <f>('Data Input'!Z32+'Data Input'!Z33)*-1</f>
        <v>-1473.7162321428571</v>
      </c>
      <c r="Z26" s="122">
        <f>('Data Input'!AA32+'Data Input'!AA33)*-1</f>
        <v>-1540</v>
      </c>
      <c r="AA26" s="122">
        <f>('Data Input'!AB32+'Data Input'!AB33)*-1</f>
        <v>-1610</v>
      </c>
      <c r="AB26" s="352">
        <f>('Data Input'!AC32+'Data Input'!AC33)*-1</f>
        <v>-1648</v>
      </c>
      <c r="AC26" s="79">
        <f>('Data Input'!AD32+'Data Input'!AD33)*-1</f>
        <v>-1710.8806010928961</v>
      </c>
      <c r="AD26" s="79">
        <f>('Data Input'!AE32+'Data Input'!AE33)*-1</f>
        <v>-1779.9690049180326</v>
      </c>
      <c r="AE26" s="79">
        <f>('Data Input'!AF32+'Data Input'!AF33)*-1</f>
        <v>-1842.0595977486337</v>
      </c>
      <c r="AF26" s="241">
        <f>('Data Input'!AG32+'Data Input'!AG33)*-1</f>
        <v>-1906.3018540446444</v>
      </c>
    </row>
    <row r="27" spans="1:32" s="122" customFormat="1" x14ac:dyDescent="0.2">
      <c r="A27" s="3" t="s">
        <v>219</v>
      </c>
      <c r="B27" s="3" t="s">
        <v>108</v>
      </c>
      <c r="C27" s="23" t="s">
        <v>12</v>
      </c>
      <c r="D27" s="3">
        <f>'experience g(l)'!C87*-1</f>
        <v>-111</v>
      </c>
      <c r="E27" s="3">
        <f>'experience g(l)'!D87*-1</f>
        <v>-61</v>
      </c>
      <c r="F27" s="3">
        <f>'experience g(l)'!E87*-1</f>
        <v>-257</v>
      </c>
      <c r="G27" s="3">
        <f>'experience g(l)'!F87*-1</f>
        <v>-148</v>
      </c>
      <c r="H27" s="3">
        <f>'experience g(l)'!G87*-1</f>
        <v>-293</v>
      </c>
      <c r="I27" s="3">
        <f>'experience g(l)'!H87*-1</f>
        <v>-380</v>
      </c>
      <c r="J27" s="3">
        <f>'experience g(l)'!I87*-1</f>
        <v>-439</v>
      </c>
      <c r="K27" s="3">
        <f>'experience g(l)'!J87*-1</f>
        <v>-651</v>
      </c>
      <c r="L27" s="3">
        <f>'experience g(l)'!K87*-1</f>
        <v>-970</v>
      </c>
      <c r="M27" s="3">
        <f>'experience g(l)'!L87*-1</f>
        <v>-1135</v>
      </c>
      <c r="N27" s="3">
        <f>'experience g(l)'!M87*-1</f>
        <v>-470</v>
      </c>
      <c r="O27" s="3">
        <f>'experience g(l)'!N87*-1</f>
        <v>-493</v>
      </c>
      <c r="P27" s="3">
        <f>'experience g(l)'!O87*-1</f>
        <v>-444</v>
      </c>
      <c r="Q27" s="122">
        <f>'experience g(l)'!P87*-1</f>
        <v>-466</v>
      </c>
      <c r="R27" s="122">
        <f>'experience g(l)'!Q87*-1</f>
        <v>-467</v>
      </c>
      <c r="S27" s="122">
        <f>'experience g(l)'!R87*-1</f>
        <v>-470</v>
      </c>
      <c r="T27" s="122">
        <f>'experience g(l)'!S87*-1</f>
        <v>-710</v>
      </c>
      <c r="U27" s="122">
        <f>'experience g(l)'!T87*-1</f>
        <v>-1113</v>
      </c>
      <c r="V27" s="122">
        <f>'experience g(l)'!U87*-1</f>
        <v>-916</v>
      </c>
      <c r="W27" s="122">
        <f>'experience g(l)'!V87*-1</f>
        <v>-587</v>
      </c>
      <c r="X27" s="122">
        <f>'experience g(l)'!W87*-1</f>
        <v>-490</v>
      </c>
      <c r="Y27" s="122">
        <f>'experience g(l)'!X87*-1</f>
        <v>-181</v>
      </c>
      <c r="Z27" s="122">
        <f>'experience g(l)'!Y87*-1</f>
        <v>70</v>
      </c>
      <c r="AA27" s="122">
        <f>'experience g(l)'!Z87*-1</f>
        <v>-312</v>
      </c>
      <c r="AB27" s="352">
        <f>'experience g(l)'!AA87*-1</f>
        <v>-723</v>
      </c>
      <c r="AC27" s="79">
        <f>'experience g(l)'!AB87*-1</f>
        <v>-1363</v>
      </c>
      <c r="AD27" s="79">
        <f>'experience g(l)'!AC87*-1</f>
        <v>-1759</v>
      </c>
      <c r="AE27" s="79">
        <f>'experience g(l)'!AD87*-1</f>
        <v>-2071</v>
      </c>
      <c r="AF27" s="241">
        <f>'experience g(l)'!AE87*-1</f>
        <v>-2353</v>
      </c>
    </row>
    <row r="28" spans="1:32" s="122" customFormat="1" x14ac:dyDescent="0.2">
      <c r="A28" s="3" t="s">
        <v>221</v>
      </c>
      <c r="B28" s="3" t="s">
        <v>224</v>
      </c>
      <c r="C28" s="3">
        <f>Interest!C29</f>
        <v>334.63499999999999</v>
      </c>
      <c r="D28" s="3">
        <f>Interest!D29</f>
        <v>419.42999999999984</v>
      </c>
      <c r="E28" s="3">
        <f>Interest!E29</f>
        <v>230.99249999999984</v>
      </c>
      <c r="F28" s="3">
        <f>Interest!F29</f>
        <v>253.09375</v>
      </c>
      <c r="G28" s="3">
        <f>Interest!G29</f>
        <v>217.78749999999991</v>
      </c>
      <c r="H28" s="3">
        <f>Interest!H29</f>
        <v>296.38749999999982</v>
      </c>
      <c r="I28" s="3">
        <f>Interest!I29</f>
        <v>142.67500000000018</v>
      </c>
      <c r="J28" s="3">
        <f>Interest!J29</f>
        <v>35.488749999999982</v>
      </c>
      <c r="K28" s="3">
        <f>Interest!K29</f>
        <v>-125.85750000000007</v>
      </c>
      <c r="L28" s="3">
        <f>Interest!L29</f>
        <v>-376.7175000000002</v>
      </c>
      <c r="M28" s="3">
        <f>Interest!M29</f>
        <v>-706.8449999999998</v>
      </c>
      <c r="N28" s="3">
        <f>Interest!N29</f>
        <v>-748.72000000000025</v>
      </c>
      <c r="O28" s="3">
        <f>Interest!O29</f>
        <v>-499.27999999999975</v>
      </c>
      <c r="P28" s="3">
        <f>Interest!P29</f>
        <v>-544.16000000000076</v>
      </c>
      <c r="Q28" s="122">
        <f>Interest!Q29</f>
        <v>-521.22500000000036</v>
      </c>
      <c r="R28" s="122">
        <f>Interest!R29</f>
        <v>-561.45000000000073</v>
      </c>
      <c r="S28" s="122">
        <f>Interest!S29</f>
        <v>-515.44999999999982</v>
      </c>
      <c r="T28" s="122">
        <f>Interest!T29</f>
        <v>-761.34875000000011</v>
      </c>
      <c r="U28" s="122">
        <f>Interest!U29</f>
        <v>-1072.8249999999998</v>
      </c>
      <c r="V28" s="122">
        <f>Interest!V29</f>
        <v>-962.31446299999948</v>
      </c>
      <c r="W28" s="122">
        <f>Interest!W29</f>
        <v>-793.94607542857239</v>
      </c>
      <c r="X28" s="122">
        <f>Interest!X29</f>
        <v>-989.68786599999964</v>
      </c>
      <c r="Y28" s="122">
        <f>Interest!Y29</f>
        <v>-774.90718583482089</v>
      </c>
      <c r="Z28" s="122">
        <f>Interest!Z29</f>
        <v>-914.99420000000009</v>
      </c>
      <c r="AA28" s="122">
        <f>Interest!AA29</f>
        <v>-1413.3342470000005</v>
      </c>
      <c r="AB28" s="352">
        <f>Interest!AB29</f>
        <v>-1877.3225000000011</v>
      </c>
      <c r="AC28" s="79">
        <f>Interest!AC29</f>
        <v>-2507.0516000510092</v>
      </c>
      <c r="AD28" s="79">
        <f>Interest!AD29</f>
        <v>-3085.3383096140847</v>
      </c>
      <c r="AE28" s="79">
        <f>Interest!AE29</f>
        <v>-3590.710747807479</v>
      </c>
      <c r="AF28" s="241">
        <f>Interest!AF29</f>
        <v>-4046.4242670582767</v>
      </c>
    </row>
    <row r="29" spans="1:32" s="122" customFormat="1" x14ac:dyDescent="0.2">
      <c r="A29" s="3" t="s">
        <v>222</v>
      </c>
      <c r="B29" s="3" t="s">
        <v>201</v>
      </c>
      <c r="C29" s="3">
        <f>'Data Input'!D16</f>
        <v>0</v>
      </c>
      <c r="D29" s="3">
        <f>'Data Input'!E16</f>
        <v>0</v>
      </c>
      <c r="E29" s="3">
        <f>'Data Input'!F16</f>
        <v>0</v>
      </c>
      <c r="F29" s="3">
        <f>'Data Input'!G16</f>
        <v>0</v>
      </c>
      <c r="G29" s="3">
        <f>'Data Input'!H16</f>
        <v>0</v>
      </c>
      <c r="H29" s="3">
        <f>'Data Input'!I16</f>
        <v>0</v>
      </c>
      <c r="I29" s="3">
        <f>'Data Input'!J16</f>
        <v>258</v>
      </c>
      <c r="J29" s="3">
        <f>'Data Input'!K16</f>
        <v>2013</v>
      </c>
      <c r="K29" s="3">
        <f>'Data Input'!L16</f>
        <v>0</v>
      </c>
      <c r="L29" s="3">
        <f>'Data Input'!M16</f>
        <v>0</v>
      </c>
      <c r="M29" s="3">
        <f>'Data Input'!N16</f>
        <v>0</v>
      </c>
      <c r="N29" s="3">
        <f>'Data Input'!O16</f>
        <v>4519</v>
      </c>
      <c r="O29" s="3">
        <f>'Data Input'!P16</f>
        <v>0</v>
      </c>
      <c r="P29" s="3">
        <f>'Data Input'!Q16</f>
        <v>0</v>
      </c>
      <c r="Q29" s="122">
        <f>'Data Input'!R16</f>
        <v>0</v>
      </c>
      <c r="R29" s="122">
        <f>'Data Input'!S16</f>
        <v>0</v>
      </c>
      <c r="S29" s="122">
        <f>'Data Input'!T16</f>
        <v>0</v>
      </c>
      <c r="T29" s="122">
        <f>'Data Input'!U16</f>
        <v>0</v>
      </c>
      <c r="U29" s="122">
        <f>'Data Input'!V16</f>
        <v>0</v>
      </c>
      <c r="V29" s="122">
        <f>'Data Input'!W16</f>
        <v>0</v>
      </c>
      <c r="W29" s="122">
        <f>'Data Input'!X16</f>
        <v>0</v>
      </c>
      <c r="X29" s="122">
        <f>'Data Input'!Y16</f>
        <v>0</v>
      </c>
      <c r="Y29" s="122">
        <f>'Data Input'!Z16</f>
        <v>0</v>
      </c>
      <c r="Z29" s="122">
        <f>'Data Input'!AA16</f>
        <v>0</v>
      </c>
      <c r="AA29" s="122">
        <f>'Data Input'!AB16</f>
        <v>0</v>
      </c>
      <c r="AB29" s="352">
        <f>'Data Input'!AC16</f>
        <v>0</v>
      </c>
      <c r="AC29" s="79">
        <f>'Data Input'!AD16</f>
        <v>0</v>
      </c>
      <c r="AD29" s="79">
        <f>'Data Input'!AE16</f>
        <v>0</v>
      </c>
      <c r="AE29" s="79">
        <f>'Data Input'!AF16</f>
        <v>0</v>
      </c>
      <c r="AF29" s="241">
        <f>'Data Input'!AG16</f>
        <v>0</v>
      </c>
    </row>
    <row r="30" spans="1:32" s="122" customFormat="1" x14ac:dyDescent="0.2">
      <c r="A30" s="3" t="s">
        <v>206</v>
      </c>
      <c r="B30" s="3"/>
      <c r="C30" s="3"/>
      <c r="D30" s="3"/>
      <c r="E30" s="3"/>
      <c r="F30" s="3"/>
      <c r="G30" s="3"/>
      <c r="H30" s="3"/>
      <c r="I30" s="3">
        <v>500</v>
      </c>
      <c r="J30" s="3">
        <v>-500</v>
      </c>
      <c r="K30" s="3"/>
      <c r="L30" s="3"/>
      <c r="M30" s="3"/>
      <c r="N30" s="3"/>
      <c r="O30" s="3"/>
      <c r="P30" s="3"/>
      <c r="AB30" s="352"/>
      <c r="AC30" s="79"/>
      <c r="AD30" s="79"/>
      <c r="AE30" s="79"/>
      <c r="AF30" s="241"/>
    </row>
    <row r="31" spans="1:32" s="122" customFormat="1" x14ac:dyDescent="0.2">
      <c r="A31" s="3" t="s">
        <v>223</v>
      </c>
      <c r="B31" s="3" t="s">
        <v>108</v>
      </c>
      <c r="C31" s="6">
        <f>'experience g(l)'!B71*-1</f>
        <v>0</v>
      </c>
      <c r="D31" s="6">
        <f>'experience g(l)'!C71*-1</f>
        <v>0</v>
      </c>
      <c r="E31" s="6">
        <f>'experience g(l)'!D71*-1</f>
        <v>0</v>
      </c>
      <c r="F31" s="6">
        <f>'experience g(l)'!E71*-1</f>
        <v>0</v>
      </c>
      <c r="G31" s="6">
        <f>'experience g(l)'!F71*-1</f>
        <v>0</v>
      </c>
      <c r="H31" s="6">
        <f>'experience g(l)'!G71*-1</f>
        <v>0</v>
      </c>
      <c r="I31" s="6">
        <f>'experience g(l)'!H71*-1</f>
        <v>-758</v>
      </c>
      <c r="J31" s="6">
        <f>'experience g(l)'!I71*-1</f>
        <v>-1513</v>
      </c>
      <c r="K31" s="6">
        <f>'experience g(l)'!J71*-1</f>
        <v>0</v>
      </c>
      <c r="L31" s="6">
        <f>'experience g(l)'!K71*-1</f>
        <v>0</v>
      </c>
      <c r="M31" s="6">
        <f>'experience g(l)'!L71*-1</f>
        <v>0</v>
      </c>
      <c r="N31" s="6">
        <f>'experience g(l)'!M71*-1</f>
        <v>-4519</v>
      </c>
      <c r="O31" s="6">
        <f>'experience g(l)'!N71*-1</f>
        <v>0</v>
      </c>
      <c r="P31" s="6">
        <f>'experience g(l)'!O71*-1</f>
        <v>0</v>
      </c>
      <c r="Q31" s="126">
        <f>'experience g(l)'!P71*-1</f>
        <v>0</v>
      </c>
      <c r="R31" s="126">
        <f>'experience g(l)'!Q71*-1</f>
        <v>0</v>
      </c>
      <c r="S31" s="126">
        <f>'experience g(l)'!R71*-1</f>
        <v>0</v>
      </c>
      <c r="T31" s="126">
        <f>'experience g(l)'!S71*-1</f>
        <v>0</v>
      </c>
      <c r="U31" s="126">
        <f>'experience g(l)'!T71*-1</f>
        <v>0</v>
      </c>
      <c r="V31" s="126">
        <f>'experience g(l)'!U71*-1</f>
        <v>0</v>
      </c>
      <c r="W31" s="126">
        <f>'experience g(l)'!V71*-1</f>
        <v>0</v>
      </c>
      <c r="X31" s="126">
        <f>'experience g(l)'!W71*-1</f>
        <v>0</v>
      </c>
      <c r="Y31" s="126">
        <f>'experience g(l)'!X71*-1</f>
        <v>0</v>
      </c>
      <c r="Z31" s="126">
        <f>'experience g(l)'!Y71*-1</f>
        <v>0</v>
      </c>
      <c r="AA31" s="126">
        <f>'experience g(l)'!Z71*-1</f>
        <v>0</v>
      </c>
      <c r="AB31" s="353">
        <f>'experience g(l)'!AA71*-1</f>
        <v>0</v>
      </c>
      <c r="AC31" s="81">
        <f>'experience g(l)'!AB71*-1</f>
        <v>0</v>
      </c>
      <c r="AD31" s="81">
        <f>'experience g(l)'!AC71*-1</f>
        <v>0</v>
      </c>
      <c r="AE31" s="81">
        <f>'experience g(l)'!AD71*-1</f>
        <v>0</v>
      </c>
      <c r="AF31" s="242">
        <f>'experience g(l)'!AE71*-1</f>
        <v>0</v>
      </c>
    </row>
    <row r="32" spans="1:32" s="147" customFormat="1" x14ac:dyDescent="0.2">
      <c r="A32" s="9" t="s">
        <v>346</v>
      </c>
      <c r="B32" s="9" t="s">
        <v>31</v>
      </c>
      <c r="C32" s="9">
        <f t="shared" ref="C32:AD32" si="29">SUM(C25:C31)</f>
        <v>730.63499999999999</v>
      </c>
      <c r="D32" s="9">
        <f t="shared" si="29"/>
        <v>882.42999999999984</v>
      </c>
      <c r="E32" s="9">
        <f t="shared" si="29"/>
        <v>637.99249999999984</v>
      </c>
      <c r="F32" s="9">
        <f t="shared" si="29"/>
        <v>468.09375</v>
      </c>
      <c r="G32" s="9">
        <f t="shared" si="29"/>
        <v>642.78749999999991</v>
      </c>
      <c r="H32" s="9">
        <f t="shared" si="29"/>
        <v>740.38749999999982</v>
      </c>
      <c r="I32" s="9">
        <f t="shared" si="29"/>
        <v>480.67500000000018</v>
      </c>
      <c r="J32" s="9">
        <f t="shared" si="29"/>
        <v>210.48874999999998</v>
      </c>
      <c r="K32" s="9">
        <f t="shared" si="29"/>
        <v>-92.857500000000073</v>
      </c>
      <c r="L32" s="9">
        <f t="shared" si="29"/>
        <v>-674.7175000000002</v>
      </c>
      <c r="M32" s="9">
        <f t="shared" si="29"/>
        <v>-1165.8449999999998</v>
      </c>
      <c r="N32" s="9">
        <f t="shared" si="29"/>
        <v>-317.72000000000025</v>
      </c>
      <c r="O32" s="9">
        <f t="shared" si="29"/>
        <v>27.720000000000255</v>
      </c>
      <c r="P32" s="9">
        <f t="shared" si="29"/>
        <v>41.839999999999236</v>
      </c>
      <c r="Q32" s="147">
        <f t="shared" si="29"/>
        <v>31.774999999999636</v>
      </c>
      <c r="R32" s="147">
        <f t="shared" si="29"/>
        <v>96.549999999999272</v>
      </c>
      <c r="S32" s="147">
        <f t="shared" si="29"/>
        <v>200.55000000000018</v>
      </c>
      <c r="T32" s="147">
        <f t="shared" si="29"/>
        <v>-428.34875000000011</v>
      </c>
      <c r="U32" s="147">
        <f t="shared" si="29"/>
        <v>-1087.8249999999998</v>
      </c>
      <c r="V32" s="147">
        <f t="shared" si="29"/>
        <v>-831.31446299999948</v>
      </c>
      <c r="W32" s="147">
        <f t="shared" si="29"/>
        <v>-285.14093257142963</v>
      </c>
      <c r="X32" s="147">
        <f t="shared" si="29"/>
        <v>-317.68786599999964</v>
      </c>
      <c r="Y32" s="147">
        <f t="shared" si="29"/>
        <v>361.37658202232205</v>
      </c>
      <c r="Z32" s="147">
        <f t="shared" si="29"/>
        <v>269.00579999999991</v>
      </c>
      <c r="AA32" s="147">
        <f t="shared" si="29"/>
        <v>-411.33424700000046</v>
      </c>
      <c r="AB32" s="351">
        <f t="shared" si="29"/>
        <v>-1346.3225000000011</v>
      </c>
      <c r="AC32" s="103">
        <f t="shared" si="29"/>
        <v>-2557.3384511439053</v>
      </c>
      <c r="AD32" s="103">
        <f t="shared" si="29"/>
        <v>-3362.2046241024304</v>
      </c>
      <c r="AE32" s="103">
        <f t="shared" ref="AE32:AF32" si="30">SUM(AE25:AE31)</f>
        <v>-4003.3662563806988</v>
      </c>
      <c r="AF32" s="267">
        <f t="shared" si="30"/>
        <v>-4549.7186385840378</v>
      </c>
    </row>
    <row r="33" spans="1:32" x14ac:dyDescent="0.2">
      <c r="A33" s="158" t="s">
        <v>342</v>
      </c>
      <c r="B33" s="158" t="s">
        <v>204</v>
      </c>
      <c r="C33" s="162"/>
      <c r="D33" s="162"/>
      <c r="E33" s="162"/>
      <c r="F33" s="162"/>
      <c r="G33" s="162"/>
      <c r="H33" s="162"/>
      <c r="I33" s="162"/>
      <c r="J33" s="162"/>
      <c r="K33" s="162"/>
      <c r="L33" s="162"/>
      <c r="M33" s="162"/>
      <c r="N33" s="162"/>
      <c r="O33" s="162"/>
      <c r="P33" s="162"/>
      <c r="Q33" s="162"/>
      <c r="R33" s="162"/>
      <c r="S33" s="163">
        <f>'year end'!S27</f>
        <v>-11.029411764705882</v>
      </c>
      <c r="T33" s="170">
        <f>'year end'!T27</f>
        <v>-11.029411764705882</v>
      </c>
      <c r="U33" s="170">
        <f>'year end'!U27</f>
        <v>-11.029411764705882</v>
      </c>
      <c r="V33" s="170">
        <f>'year end'!V27</f>
        <v>-11.029411764705882</v>
      </c>
      <c r="W33" s="170">
        <f>'year end'!W27</f>
        <v>-11.029411764705882</v>
      </c>
      <c r="X33" s="138">
        <f>'year end'!X27</f>
        <v>-11.029411764705882</v>
      </c>
      <c r="Y33" s="170">
        <f>'year end'!Y27</f>
        <v>-11.029411764705882</v>
      </c>
      <c r="Z33" s="170">
        <f>'year end'!Z27</f>
        <v>-11.029411764705882</v>
      </c>
      <c r="AA33" s="170">
        <f>'year end'!AA27</f>
        <v>-11.029411764705882</v>
      </c>
      <c r="AB33" s="375">
        <f>'year end'!AB27</f>
        <v>-11.029411764705882</v>
      </c>
      <c r="AC33" s="299">
        <f>'year end'!AC27</f>
        <v>-10.029411764705882</v>
      </c>
      <c r="AD33" s="299">
        <f>'year end'!AD27</f>
        <v>-10.029411764705882</v>
      </c>
      <c r="AE33" s="299">
        <f>'year end'!AE27</f>
        <v>-10.029411764705882</v>
      </c>
      <c r="AF33" s="273">
        <f>'year end'!AF27</f>
        <v>-10.029411764705882</v>
      </c>
    </row>
    <row r="34" spans="1:32" s="218" customFormat="1" x14ac:dyDescent="0.2">
      <c r="A34" s="8" t="s">
        <v>243</v>
      </c>
      <c r="B34" s="9" t="s">
        <v>241</v>
      </c>
      <c r="C34" s="14"/>
      <c r="D34" s="14"/>
      <c r="E34" s="14"/>
      <c r="F34" s="14"/>
      <c r="G34" s="125">
        <f t="shared" ref="G34:R34" si="31">SUM(G32:G33)</f>
        <v>642.78749999999991</v>
      </c>
      <c r="H34" s="125">
        <f t="shared" si="31"/>
        <v>740.38749999999982</v>
      </c>
      <c r="I34" s="125">
        <f t="shared" si="31"/>
        <v>480.67500000000018</v>
      </c>
      <c r="J34" s="125">
        <f t="shared" si="31"/>
        <v>210.48874999999998</v>
      </c>
      <c r="K34" s="125">
        <f t="shared" si="31"/>
        <v>-92.857500000000073</v>
      </c>
      <c r="L34" s="125">
        <f t="shared" si="31"/>
        <v>-674.7175000000002</v>
      </c>
      <c r="M34" s="125">
        <f t="shared" si="31"/>
        <v>-1165.8449999999998</v>
      </c>
      <c r="N34" s="125">
        <f t="shared" si="31"/>
        <v>-317.72000000000025</v>
      </c>
      <c r="O34" s="125">
        <f t="shared" si="31"/>
        <v>27.720000000000255</v>
      </c>
      <c r="P34" s="125">
        <f t="shared" si="31"/>
        <v>41.839999999999236</v>
      </c>
      <c r="Q34" s="125">
        <f t="shared" si="31"/>
        <v>31.774999999999636</v>
      </c>
      <c r="R34" s="125">
        <f t="shared" si="31"/>
        <v>96.549999999999272</v>
      </c>
      <c r="S34" s="125">
        <f t="shared" ref="S34:AD34" si="32">SUM(S32:S33)</f>
        <v>189.5205882352943</v>
      </c>
      <c r="T34" s="125">
        <f t="shared" si="32"/>
        <v>-439.37816176470596</v>
      </c>
      <c r="U34" s="125">
        <f t="shared" si="32"/>
        <v>-1098.8544117647057</v>
      </c>
      <c r="V34" s="125">
        <f t="shared" si="32"/>
        <v>-842.34387476470533</v>
      </c>
      <c r="W34" s="125">
        <f t="shared" si="32"/>
        <v>-296.17034433613549</v>
      </c>
      <c r="X34" s="125">
        <f t="shared" si="32"/>
        <v>-328.7172777647055</v>
      </c>
      <c r="Y34" s="125">
        <f t="shared" si="32"/>
        <v>350.3471702576162</v>
      </c>
      <c r="Z34" s="125">
        <f t="shared" si="32"/>
        <v>257.97638823529405</v>
      </c>
      <c r="AA34" s="125">
        <f t="shared" si="32"/>
        <v>-422.36365876470632</v>
      </c>
      <c r="AB34" s="376">
        <f t="shared" si="32"/>
        <v>-1357.351911764707</v>
      </c>
      <c r="AC34" s="80">
        <f t="shared" si="32"/>
        <v>-2567.3678629086112</v>
      </c>
      <c r="AD34" s="80">
        <f t="shared" si="32"/>
        <v>-3372.2340358671363</v>
      </c>
      <c r="AE34" s="80">
        <f t="shared" ref="AE34:AF34" si="33">SUM(AE32:AE33)</f>
        <v>-4013.3956681454047</v>
      </c>
      <c r="AF34" s="274">
        <f t="shared" si="33"/>
        <v>-4559.7480503487441</v>
      </c>
    </row>
  </sheetData>
  <phoneticPr fontId="0" type="noConversion"/>
  <pageMargins left="0.51181102362204722" right="0.51181102362204722" top="0.98425196850393704" bottom="0.98425196850393704" header="0.51181102362204722" footer="0.51181102362204722"/>
  <pageSetup paperSize="5" scale="48" orientation="landscape" r:id="rId1"/>
  <headerFooter alignWithMargins="0">
    <oddFooter>&amp;L&amp;"Arial,Bold"&amp;F&amp;C&amp;A&amp;R&amp;D  &amp;T</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A36"/>
  <sheetViews>
    <sheetView workbookViewId="0">
      <pane xSplit="2" ySplit="5" topLeftCell="O6" activePane="bottomRight" state="frozen"/>
      <selection activeCell="A41" sqref="A41"/>
      <selection pane="topRight" activeCell="A41" sqref="A41"/>
      <selection pane="bottomLeft" activeCell="A41" sqref="A41"/>
      <selection pane="bottomRight" activeCell="V17" sqref="V17"/>
    </sheetView>
  </sheetViews>
  <sheetFormatPr baseColWidth="10" defaultColWidth="9.140625" defaultRowHeight="12.75" outlineLevelCol="1" x14ac:dyDescent="0.2"/>
  <cols>
    <col min="1" max="1" width="42.7109375" customWidth="1"/>
    <col min="2" max="2" width="20.7109375" customWidth="1"/>
    <col min="3" max="7" width="9.28515625" hidden="1" customWidth="1" outlineLevel="1"/>
    <col min="8" max="8" width="10" hidden="1" customWidth="1" outlineLevel="1"/>
    <col min="9" max="9" width="11.28515625" hidden="1" customWidth="1" outlineLevel="1"/>
    <col min="10" max="10" width="12.5703125" hidden="1" customWidth="1" outlineLevel="1"/>
    <col min="11" max="11" width="12.42578125" style="116" hidden="1" customWidth="1" outlineLevel="1"/>
    <col min="12" max="12" width="13" style="116" hidden="1" customWidth="1" outlineLevel="1"/>
    <col min="13" max="13" width="12.42578125" style="116" hidden="1" customWidth="1" outlineLevel="1"/>
    <col min="14" max="14" width="12" style="116" hidden="1" customWidth="1" outlineLevel="1"/>
    <col min="15" max="15" width="10.85546875" style="116" bestFit="1" customWidth="1" collapsed="1"/>
    <col min="16" max="16" width="11.85546875" style="116" bestFit="1" customWidth="1"/>
    <col min="17" max="17" width="12" style="116" customWidth="1"/>
    <col min="18" max="18" width="10.28515625" style="116" bestFit="1" customWidth="1"/>
    <col min="19" max="20" width="10.28515625" style="116" customWidth="1"/>
    <col min="21" max="21" width="10.85546875" style="116" bestFit="1" customWidth="1"/>
    <col min="22" max="22" width="10.85546875" style="345" bestFit="1" customWidth="1"/>
    <col min="23" max="25" width="11.28515625" style="76" hidden="1" customWidth="1" outlineLevel="1"/>
    <col min="26" max="26" width="11.28515625" style="239" hidden="1" customWidth="1" outlineLevel="1"/>
    <col min="27" max="27" width="9.140625" collapsed="1"/>
  </cols>
  <sheetData>
    <row r="1" spans="1:26" ht="15.75" x14ac:dyDescent="0.25">
      <c r="A1" s="18" t="s">
        <v>258</v>
      </c>
    </row>
    <row r="2" spans="1:26" ht="15.75" x14ac:dyDescent="0.25">
      <c r="A2" s="18" t="s">
        <v>304</v>
      </c>
    </row>
    <row r="5" spans="1:26" s="2" customFormat="1" ht="13.5" thickBot="1" x14ac:dyDescent="0.25">
      <c r="A5" s="19" t="s">
        <v>156</v>
      </c>
      <c r="B5" s="20" t="s">
        <v>26</v>
      </c>
      <c r="C5" s="62" t="s">
        <v>39</v>
      </c>
      <c r="D5" s="62" t="s">
        <v>40</v>
      </c>
      <c r="E5" s="62" t="s">
        <v>41</v>
      </c>
      <c r="F5" s="62" t="s">
        <v>295</v>
      </c>
      <c r="G5" s="62" t="s">
        <v>43</v>
      </c>
      <c r="H5" s="62" t="s">
        <v>44</v>
      </c>
      <c r="I5" s="62" t="s">
        <v>45</v>
      </c>
      <c r="J5" s="62" t="s">
        <v>168</v>
      </c>
      <c r="K5" s="151" t="s">
        <v>169</v>
      </c>
      <c r="L5" s="151" t="s">
        <v>170</v>
      </c>
      <c r="M5" s="151" t="s">
        <v>171</v>
      </c>
      <c r="N5" s="151" t="s">
        <v>172</v>
      </c>
      <c r="O5" s="151" t="s">
        <v>173</v>
      </c>
      <c r="P5" s="151" t="s">
        <v>174</v>
      </c>
      <c r="Q5" s="151" t="s">
        <v>175</v>
      </c>
      <c r="R5" s="151" t="s">
        <v>176</v>
      </c>
      <c r="S5" s="151" t="s">
        <v>177</v>
      </c>
      <c r="T5" s="151" t="s">
        <v>178</v>
      </c>
      <c r="U5" s="151" t="s">
        <v>294</v>
      </c>
      <c r="V5" s="377" t="s">
        <v>309</v>
      </c>
      <c r="W5" s="109" t="s">
        <v>315</v>
      </c>
      <c r="X5" s="109" t="s">
        <v>316</v>
      </c>
      <c r="Y5" s="109" t="s">
        <v>317</v>
      </c>
      <c r="Z5" s="275" t="s">
        <v>318</v>
      </c>
    </row>
    <row r="6" spans="1:26" s="3" customFormat="1" x14ac:dyDescent="0.2">
      <c r="K6" s="122"/>
      <c r="L6" s="122"/>
      <c r="M6" s="122"/>
      <c r="N6" s="122"/>
      <c r="O6" s="122"/>
      <c r="P6" s="122"/>
      <c r="Q6" s="122"/>
      <c r="R6" s="122"/>
      <c r="S6" s="122"/>
      <c r="T6" s="122"/>
      <c r="U6" s="122"/>
      <c r="V6" s="352"/>
      <c r="W6" s="79"/>
      <c r="X6" s="79"/>
      <c r="Y6" s="79"/>
      <c r="Z6" s="241"/>
    </row>
    <row r="7" spans="1:26" s="3" customFormat="1" x14ac:dyDescent="0.2">
      <c r="K7" s="122"/>
      <c r="L7" s="122"/>
      <c r="M7" s="122"/>
      <c r="N7" s="122"/>
      <c r="O7" s="122"/>
      <c r="P7" s="122"/>
      <c r="Q7" s="122"/>
      <c r="R7" s="122"/>
      <c r="S7" s="122"/>
      <c r="T7" s="122"/>
      <c r="U7" s="122"/>
      <c r="V7" s="352"/>
      <c r="W7" s="79"/>
      <c r="X7" s="79"/>
      <c r="Y7" s="79"/>
      <c r="Z7" s="241"/>
    </row>
    <row r="8" spans="1:26" s="3" customFormat="1" x14ac:dyDescent="0.2">
      <c r="A8" s="12" t="s">
        <v>245</v>
      </c>
      <c r="K8" s="122"/>
      <c r="L8" s="122"/>
      <c r="M8" s="122"/>
      <c r="N8" s="122"/>
      <c r="O8" s="122"/>
      <c r="P8" s="122"/>
      <c r="Q8" s="122"/>
      <c r="R8" s="122"/>
      <c r="S8" s="122"/>
      <c r="T8" s="122"/>
      <c r="U8" s="122"/>
      <c r="V8" s="352"/>
      <c r="W8" s="79"/>
      <c r="X8" s="79"/>
      <c r="Y8" s="79"/>
      <c r="Z8" s="241"/>
    </row>
    <row r="9" spans="1:26" s="3" customFormat="1" x14ac:dyDescent="0.2">
      <c r="K9" s="122"/>
      <c r="L9" s="122"/>
      <c r="M9" s="122"/>
      <c r="N9" s="122"/>
      <c r="O9" s="122"/>
      <c r="P9" s="122"/>
      <c r="Q9" s="122"/>
      <c r="R9" s="122"/>
      <c r="S9" s="122"/>
      <c r="T9" s="122"/>
      <c r="U9" s="122"/>
      <c r="V9" s="352"/>
      <c r="W9" s="79"/>
      <c r="X9" s="79"/>
      <c r="Y9" s="79"/>
      <c r="Z9" s="241"/>
    </row>
    <row r="10" spans="1:26" s="3" customFormat="1" x14ac:dyDescent="0.2">
      <c r="A10" s="3" t="s">
        <v>218</v>
      </c>
      <c r="B10" s="3" t="s">
        <v>238</v>
      </c>
      <c r="C10" s="3">
        <f t="shared" ref="C10:H10" si="0">C21/2</f>
        <v>15.5</v>
      </c>
      <c r="D10" s="3">
        <f t="shared" si="0"/>
        <v>10.5</v>
      </c>
      <c r="E10" s="3">
        <f t="shared" si="0"/>
        <v>12.5</v>
      </c>
      <c r="F10" s="3">
        <f t="shared" si="0"/>
        <v>11</v>
      </c>
      <c r="G10" s="3">
        <f t="shared" si="0"/>
        <v>9</v>
      </c>
      <c r="H10" s="3">
        <f t="shared" si="0"/>
        <v>16</v>
      </c>
      <c r="I10" s="3">
        <f t="shared" ref="I10:O10" si="1">I21/2</f>
        <v>16.324000000000002</v>
      </c>
      <c r="J10" s="3">
        <f t="shared" si="1"/>
        <v>4.5380000000000003</v>
      </c>
      <c r="K10" s="122">
        <f t="shared" si="1"/>
        <v>5.1684999999999999</v>
      </c>
      <c r="L10" s="122">
        <f t="shared" si="1"/>
        <v>5.7975000000000003</v>
      </c>
      <c r="M10" s="122">
        <f t="shared" si="1"/>
        <v>3.665</v>
      </c>
      <c r="N10" s="122">
        <f t="shared" si="1"/>
        <v>4.6524999999999999</v>
      </c>
      <c r="O10" s="122">
        <f t="shared" si="1"/>
        <v>5.4195000000000002</v>
      </c>
      <c r="P10" s="122">
        <f t="shared" ref="P10:U10" si="2">P21/2</f>
        <v>4.9725000000000001</v>
      </c>
      <c r="Q10" s="122">
        <f t="shared" si="2"/>
        <v>6.4095000000000004</v>
      </c>
      <c r="R10" s="122">
        <f t="shared" si="2"/>
        <v>7.5060000000000002</v>
      </c>
      <c r="S10" s="122">
        <f t="shared" si="2"/>
        <v>7.2874999999999996</v>
      </c>
      <c r="T10" s="122">
        <f t="shared" si="2"/>
        <v>6.7255000000000003</v>
      </c>
      <c r="U10" s="122">
        <f t="shared" si="2"/>
        <v>3.2679999999999998</v>
      </c>
      <c r="V10" s="352">
        <f>V21/2</f>
        <v>4.1120000000000001</v>
      </c>
      <c r="W10" s="79">
        <f>W21/2</f>
        <v>4.2147999999999994</v>
      </c>
      <c r="X10" s="79">
        <f>X21/2</f>
        <v>4.3201699999999992</v>
      </c>
      <c r="Y10" s="79">
        <f>Y21/2</f>
        <v>4.4281742499999988</v>
      </c>
      <c r="Z10" s="241">
        <f>Z21/2</f>
        <v>4.5388786062499982</v>
      </c>
    </row>
    <row r="11" spans="1:26" s="3" customFormat="1" x14ac:dyDescent="0.2">
      <c r="A11" s="3" t="s">
        <v>219</v>
      </c>
      <c r="B11" s="3" t="s">
        <v>238</v>
      </c>
      <c r="C11" s="3">
        <f t="shared" ref="C11:H11" si="3">+C23/2</f>
        <v>-3</v>
      </c>
      <c r="D11" s="3">
        <f t="shared" si="3"/>
        <v>-7</v>
      </c>
      <c r="E11" s="3">
        <f t="shared" si="3"/>
        <v>-8</v>
      </c>
      <c r="F11" s="3">
        <f t="shared" si="3"/>
        <v>-11</v>
      </c>
      <c r="G11" s="3">
        <f t="shared" si="3"/>
        <v>-9.5</v>
      </c>
      <c r="H11" s="3">
        <f t="shared" si="3"/>
        <v>-8</v>
      </c>
      <c r="I11" s="3">
        <f t="shared" ref="I11:O11" si="4">+I23/2</f>
        <v>-5</v>
      </c>
      <c r="J11" s="3">
        <f t="shared" si="4"/>
        <v>-18</v>
      </c>
      <c r="K11" s="122">
        <f t="shared" si="4"/>
        <v>-18</v>
      </c>
      <c r="L11" s="122">
        <f t="shared" si="4"/>
        <v>-18.5</v>
      </c>
      <c r="M11" s="122">
        <f t="shared" si="4"/>
        <v>-19.5</v>
      </c>
      <c r="N11" s="122">
        <f t="shared" si="4"/>
        <v>-19</v>
      </c>
      <c r="O11" s="122">
        <f t="shared" si="4"/>
        <v>-17.5</v>
      </c>
      <c r="P11" s="122">
        <f t="shared" ref="P11:U11" si="5">+P23/2</f>
        <v>-18</v>
      </c>
      <c r="Q11" s="122">
        <f t="shared" si="5"/>
        <v>-11</v>
      </c>
      <c r="R11" s="122">
        <f t="shared" si="5"/>
        <v>-8</v>
      </c>
      <c r="S11" s="122">
        <f t="shared" si="5"/>
        <v>-8</v>
      </c>
      <c r="T11" s="122">
        <f t="shared" si="5"/>
        <v>-7</v>
      </c>
      <c r="U11" s="122">
        <f t="shared" si="5"/>
        <v>-8</v>
      </c>
      <c r="V11" s="352">
        <f>+V23/2</f>
        <v>-12</v>
      </c>
      <c r="W11" s="79">
        <f>+W23/2</f>
        <v>0</v>
      </c>
      <c r="X11" s="79">
        <f>+X23/2</f>
        <v>-1</v>
      </c>
      <c r="Y11" s="79">
        <f>+Y23/2</f>
        <v>-0.5</v>
      </c>
      <c r="Z11" s="241">
        <f>+Z23/2</f>
        <v>0.5</v>
      </c>
    </row>
    <row r="12" spans="1:26" s="3" customFormat="1" x14ac:dyDescent="0.2">
      <c r="A12" s="3" t="s">
        <v>221</v>
      </c>
      <c r="B12" s="3" t="s">
        <v>238</v>
      </c>
      <c r="C12" s="3">
        <f t="shared" ref="C12:H12" si="6">C24/2</f>
        <v>8.1571875000000009</v>
      </c>
      <c r="D12" s="3">
        <f t="shared" si="6"/>
        <v>6.9265625000000002</v>
      </c>
      <c r="E12" s="3">
        <f t="shared" si="6"/>
        <v>5.8181249999999993</v>
      </c>
      <c r="F12" s="3">
        <f t="shared" si="6"/>
        <v>5.0118750000000007</v>
      </c>
      <c r="G12" s="3">
        <f t="shared" si="6"/>
        <v>3.875</v>
      </c>
      <c r="H12" s="3">
        <f t="shared" si="6"/>
        <v>5.3707500000000001</v>
      </c>
      <c r="I12" s="3">
        <f t="shared" ref="I12:O12" si="7">I24/2</f>
        <v>5.5563987499999996</v>
      </c>
      <c r="J12" s="3">
        <f t="shared" si="7"/>
        <v>6.8163948750000003</v>
      </c>
      <c r="K12" s="122">
        <f t="shared" si="7"/>
        <v>2.1683215625000001</v>
      </c>
      <c r="L12" s="122">
        <f t="shared" si="7"/>
        <v>2.2204085000000005</v>
      </c>
      <c r="M12" s="122">
        <f t="shared" si="7"/>
        <v>1.9964894999999998</v>
      </c>
      <c r="N12" s="122">
        <f t="shared" si="7"/>
        <v>2.449352625</v>
      </c>
      <c r="O12" s="122">
        <f t="shared" si="7"/>
        <v>2.4896450000000003</v>
      </c>
      <c r="P12" s="122">
        <f t="shared" ref="P12:U12" si="8">P24/2</f>
        <v>2.3005400000000003</v>
      </c>
      <c r="Q12" s="122">
        <f t="shared" si="8"/>
        <v>3.4499597500000001</v>
      </c>
      <c r="R12" s="122">
        <f t="shared" si="8"/>
        <v>3.9298111874999995</v>
      </c>
      <c r="S12" s="122">
        <f t="shared" si="8"/>
        <v>3.3667862500000005</v>
      </c>
      <c r="T12" s="122">
        <f t="shared" si="8"/>
        <v>3.2599625000000003</v>
      </c>
      <c r="U12" s="122">
        <f t="shared" si="8"/>
        <v>3.6026182499999999</v>
      </c>
      <c r="V12" s="352">
        <f>V24/2</f>
        <v>2.7467487500000005</v>
      </c>
      <c r="W12" s="79">
        <f>W24/2</f>
        <v>2.4956649250000003</v>
      </c>
      <c r="X12" s="79">
        <f>X24/2</f>
        <v>2.5038672295000004</v>
      </c>
      <c r="Y12" s="79">
        <f>Y24/2</f>
        <v>2.5124054391495316</v>
      </c>
      <c r="Z12" s="241">
        <f>Z24/2</f>
        <v>2.5213052492092798</v>
      </c>
    </row>
    <row r="13" spans="1:26" s="3" customFormat="1" x14ac:dyDescent="0.2">
      <c r="A13" s="3" t="s">
        <v>222</v>
      </c>
      <c r="B13" s="3" t="s">
        <v>238</v>
      </c>
      <c r="C13" s="3">
        <f t="shared" ref="C13:H14" si="9">+C25/2</f>
        <v>0</v>
      </c>
      <c r="D13" s="3">
        <f t="shared" si="9"/>
        <v>0</v>
      </c>
      <c r="E13" s="3">
        <f t="shared" si="9"/>
        <v>0</v>
      </c>
      <c r="F13" s="3">
        <f t="shared" si="9"/>
        <v>0</v>
      </c>
      <c r="G13" s="3">
        <f t="shared" si="9"/>
        <v>0</v>
      </c>
      <c r="H13" s="3">
        <f t="shared" si="9"/>
        <v>19.5</v>
      </c>
      <c r="I13" s="3">
        <f t="shared" ref="I13:O14" si="10">+I25/2</f>
        <v>0</v>
      </c>
      <c r="J13" s="3">
        <f t="shared" si="10"/>
        <v>0</v>
      </c>
      <c r="K13" s="122">
        <f t="shared" si="10"/>
        <v>0</v>
      </c>
      <c r="L13" s="122">
        <f t="shared" si="10"/>
        <v>0</v>
      </c>
      <c r="M13" s="122">
        <f t="shared" si="10"/>
        <v>0</v>
      </c>
      <c r="N13" s="122">
        <f t="shared" si="10"/>
        <v>0</v>
      </c>
      <c r="O13" s="122">
        <f t="shared" si="10"/>
        <v>0</v>
      </c>
      <c r="P13" s="122">
        <f t="shared" ref="P13:R14" si="11">+P25/2</f>
        <v>0</v>
      </c>
      <c r="Q13" s="122">
        <f t="shared" si="11"/>
        <v>0</v>
      </c>
      <c r="R13" s="122">
        <f t="shared" si="11"/>
        <v>0</v>
      </c>
      <c r="S13" s="122">
        <f t="shared" ref="S13:U14" si="12">+S25/2</f>
        <v>0</v>
      </c>
      <c r="T13" s="122">
        <f t="shared" si="12"/>
        <v>0</v>
      </c>
      <c r="U13" s="122">
        <f t="shared" si="12"/>
        <v>0</v>
      </c>
      <c r="V13" s="352">
        <f t="shared" ref="V13:X14" si="13">+V25/2</f>
        <v>0</v>
      </c>
      <c r="W13" s="79">
        <f t="shared" si="13"/>
        <v>0</v>
      </c>
      <c r="X13" s="79">
        <f t="shared" si="13"/>
        <v>0</v>
      </c>
      <c r="Y13" s="79">
        <f t="shared" ref="Y13:Z13" si="14">+Y25/2</f>
        <v>0</v>
      </c>
      <c r="Z13" s="241">
        <f t="shared" si="14"/>
        <v>0</v>
      </c>
    </row>
    <row r="14" spans="1:26" s="3" customFormat="1" x14ac:dyDescent="0.2">
      <c r="A14" s="3" t="s">
        <v>247</v>
      </c>
      <c r="B14" s="3" t="s">
        <v>238</v>
      </c>
      <c r="C14" s="3">
        <f t="shared" si="9"/>
        <v>0</v>
      </c>
      <c r="D14" s="3">
        <f t="shared" si="9"/>
        <v>0</v>
      </c>
      <c r="E14" s="3">
        <f t="shared" si="9"/>
        <v>0</v>
      </c>
      <c r="F14" s="3">
        <f t="shared" si="9"/>
        <v>0</v>
      </c>
      <c r="G14" s="3">
        <f t="shared" si="9"/>
        <v>0</v>
      </c>
      <c r="H14" s="3">
        <f t="shared" si="9"/>
        <v>-19.5</v>
      </c>
      <c r="I14" s="3">
        <f t="shared" si="10"/>
        <v>0</v>
      </c>
      <c r="J14" s="3">
        <f t="shared" si="10"/>
        <v>0</v>
      </c>
      <c r="K14" s="122">
        <f t="shared" si="10"/>
        <v>0</v>
      </c>
      <c r="L14" s="122">
        <f t="shared" si="10"/>
        <v>0</v>
      </c>
      <c r="M14" s="122">
        <f t="shared" si="10"/>
        <v>0</v>
      </c>
      <c r="N14" s="122">
        <f t="shared" si="10"/>
        <v>0</v>
      </c>
      <c r="O14" s="122">
        <f t="shared" si="10"/>
        <v>0</v>
      </c>
      <c r="P14" s="122">
        <f t="shared" si="11"/>
        <v>0</v>
      </c>
      <c r="Q14" s="122">
        <f t="shared" si="11"/>
        <v>0</v>
      </c>
      <c r="R14" s="122">
        <f t="shared" si="11"/>
        <v>0</v>
      </c>
      <c r="S14" s="122">
        <f t="shared" si="12"/>
        <v>0</v>
      </c>
      <c r="T14" s="122">
        <f t="shared" si="12"/>
        <v>0</v>
      </c>
      <c r="U14" s="122">
        <f t="shared" si="12"/>
        <v>0</v>
      </c>
      <c r="V14" s="352">
        <f t="shared" si="13"/>
        <v>0</v>
      </c>
      <c r="W14" s="79">
        <f t="shared" si="13"/>
        <v>0</v>
      </c>
      <c r="X14" s="79">
        <f t="shared" si="13"/>
        <v>0</v>
      </c>
      <c r="Y14" s="79">
        <f t="shared" ref="Y14:Z14" si="15">+Y26/2</f>
        <v>0</v>
      </c>
      <c r="Z14" s="241">
        <f t="shared" si="15"/>
        <v>0</v>
      </c>
    </row>
    <row r="15" spans="1:26" s="49" customFormat="1" ht="16.5" thickBot="1" x14ac:dyDescent="0.3">
      <c r="A15" s="52" t="s">
        <v>220</v>
      </c>
      <c r="B15" s="9" t="s">
        <v>241</v>
      </c>
      <c r="C15" s="54">
        <f t="shared" ref="C15:J15" si="16">SUM(C10:C14)</f>
        <v>20.657187499999999</v>
      </c>
      <c r="D15" s="54">
        <f t="shared" si="16"/>
        <v>10.426562499999999</v>
      </c>
      <c r="E15" s="54">
        <f t="shared" si="16"/>
        <v>10.318124999999998</v>
      </c>
      <c r="F15" s="54">
        <f t="shared" si="16"/>
        <v>5.0118750000000007</v>
      </c>
      <c r="G15" s="54">
        <f t="shared" si="16"/>
        <v>3.375</v>
      </c>
      <c r="H15" s="54">
        <f t="shared" si="16"/>
        <v>13.370750000000001</v>
      </c>
      <c r="I15" s="54">
        <f t="shared" si="16"/>
        <v>16.880398750000001</v>
      </c>
      <c r="J15" s="54">
        <f t="shared" si="16"/>
        <v>-6.6456051249999994</v>
      </c>
      <c r="K15" s="127">
        <f t="shared" ref="K15:X15" si="17">SUM(K10:K14)</f>
        <v>-10.663178437500001</v>
      </c>
      <c r="L15" s="127">
        <f t="shared" si="17"/>
        <v>-10.482091499999999</v>
      </c>
      <c r="M15" s="127">
        <f t="shared" si="17"/>
        <v>-13.838510500000002</v>
      </c>
      <c r="N15" s="127">
        <f t="shared" si="17"/>
        <v>-11.898147375000001</v>
      </c>
      <c r="O15" s="127">
        <f t="shared" si="17"/>
        <v>-9.5908550000000012</v>
      </c>
      <c r="P15" s="127">
        <f t="shared" si="17"/>
        <v>-10.72696</v>
      </c>
      <c r="Q15" s="127">
        <f t="shared" si="17"/>
        <v>-1.1405402499999995</v>
      </c>
      <c r="R15" s="127">
        <f t="shared" si="17"/>
        <v>3.4358111874999997</v>
      </c>
      <c r="S15" s="127">
        <f t="shared" si="17"/>
        <v>2.6542862500000002</v>
      </c>
      <c r="T15" s="127">
        <f t="shared" si="17"/>
        <v>2.9854625000000006</v>
      </c>
      <c r="U15" s="127">
        <f t="shared" si="17"/>
        <v>-1.1293817500000003</v>
      </c>
      <c r="V15" s="373">
        <f t="shared" si="17"/>
        <v>-5.1412512499999998</v>
      </c>
      <c r="W15" s="99">
        <f t="shared" si="17"/>
        <v>6.7104649250000001</v>
      </c>
      <c r="X15" s="99">
        <f t="shared" si="17"/>
        <v>5.8240372295</v>
      </c>
      <c r="Y15" s="99">
        <f t="shared" ref="Y15:Z15" si="18">SUM(Y10:Y14)</f>
        <v>6.4405796891495299</v>
      </c>
      <c r="Z15" s="271">
        <f t="shared" si="18"/>
        <v>7.560183855459278</v>
      </c>
    </row>
    <row r="16" spans="1:26" s="3" customFormat="1" ht="13.5" thickTop="1" x14ac:dyDescent="0.2">
      <c r="K16" s="122"/>
      <c r="L16" s="122"/>
      <c r="M16" s="122"/>
      <c r="N16" s="122"/>
      <c r="O16" s="122"/>
      <c r="P16" s="122"/>
      <c r="Q16" s="122"/>
      <c r="R16" s="122"/>
      <c r="S16" s="122"/>
      <c r="T16" s="122"/>
      <c r="U16" s="122"/>
      <c r="V16" s="352"/>
      <c r="W16" s="79"/>
      <c r="X16" s="79"/>
      <c r="Y16" s="79"/>
      <c r="Z16" s="241"/>
    </row>
    <row r="17" spans="1:26" s="3" customFormat="1" x14ac:dyDescent="0.2">
      <c r="H17" s="3" t="s">
        <v>307</v>
      </c>
      <c r="I17" s="3">
        <f t="shared" ref="I17:X17" si="19">I15*1000000</f>
        <v>16880398.75</v>
      </c>
      <c r="J17" s="3">
        <f t="shared" si="19"/>
        <v>-6645605.1249999991</v>
      </c>
      <c r="K17" s="3">
        <f t="shared" si="19"/>
        <v>-10663178.437500002</v>
      </c>
      <c r="L17" s="3">
        <f t="shared" si="19"/>
        <v>-10482091.5</v>
      </c>
      <c r="M17" s="3">
        <f t="shared" si="19"/>
        <v>-13838510.500000002</v>
      </c>
      <c r="N17" s="3">
        <f t="shared" si="19"/>
        <v>-11898147.375</v>
      </c>
      <c r="O17" s="122">
        <f t="shared" si="19"/>
        <v>-9590855.0000000019</v>
      </c>
      <c r="P17" s="122">
        <f t="shared" si="19"/>
        <v>-10726960</v>
      </c>
      <c r="Q17" s="122">
        <f t="shared" si="19"/>
        <v>-1140540.2499999995</v>
      </c>
      <c r="R17" s="122">
        <f t="shared" si="19"/>
        <v>3435811.1874999995</v>
      </c>
      <c r="S17" s="122">
        <f t="shared" si="19"/>
        <v>2654286.25</v>
      </c>
      <c r="T17" s="122">
        <f t="shared" si="19"/>
        <v>2985462.5000000005</v>
      </c>
      <c r="U17" s="122">
        <f t="shared" si="19"/>
        <v>-1129381.7500000002</v>
      </c>
      <c r="V17" s="352">
        <f t="shared" si="19"/>
        <v>-5141251.25</v>
      </c>
      <c r="W17" s="79">
        <f t="shared" si="19"/>
        <v>6710464.9249999998</v>
      </c>
      <c r="X17" s="79">
        <f t="shared" si="19"/>
        <v>5824037.2295000004</v>
      </c>
      <c r="Y17" s="79">
        <f t="shared" ref="Y17:Z17" si="20">Y15*1000000</f>
        <v>6440579.6891495297</v>
      </c>
      <c r="Z17" s="241">
        <f t="shared" si="20"/>
        <v>7560183.8554592775</v>
      </c>
    </row>
    <row r="18" spans="1:26" s="3" customFormat="1" x14ac:dyDescent="0.2">
      <c r="K18" s="122"/>
      <c r="L18" s="122"/>
      <c r="M18" s="122"/>
      <c r="N18" s="122"/>
      <c r="O18" s="122"/>
      <c r="P18" s="122" t="s">
        <v>366</v>
      </c>
      <c r="Q18" s="126">
        <f>-'RCA liab'!Q32</f>
        <v>0</v>
      </c>
      <c r="R18" s="122"/>
      <c r="S18" s="122"/>
      <c r="T18" s="122"/>
      <c r="U18" s="122"/>
      <c r="V18" s="352"/>
      <c r="W18" s="79"/>
      <c r="X18" s="79"/>
      <c r="Y18" s="79"/>
      <c r="Z18" s="241"/>
    </row>
    <row r="19" spans="1:26" s="3" customFormat="1" x14ac:dyDescent="0.2">
      <c r="A19" s="53" t="s">
        <v>242</v>
      </c>
      <c r="K19" s="122"/>
      <c r="L19" s="122"/>
      <c r="M19" s="122"/>
      <c r="N19" s="122"/>
      <c r="O19" s="122"/>
      <c r="P19" s="122" t="s">
        <v>367</v>
      </c>
      <c r="Q19" s="122">
        <f>SUM(Q17:Q18)</f>
        <v>-1140540.2499999995</v>
      </c>
      <c r="R19" s="122"/>
      <c r="S19" s="122"/>
      <c r="T19" s="122"/>
      <c r="U19" s="122"/>
      <c r="V19" s="352"/>
      <c r="W19" s="79"/>
      <c r="X19" s="79"/>
      <c r="Y19" s="79"/>
      <c r="Z19" s="241"/>
    </row>
    <row r="20" spans="1:26" s="3" customFormat="1" x14ac:dyDescent="0.2">
      <c r="K20" s="122"/>
      <c r="L20" s="122"/>
      <c r="M20" s="122"/>
      <c r="N20" s="122"/>
      <c r="O20" s="122"/>
      <c r="P20" s="122"/>
      <c r="Q20" s="122"/>
      <c r="R20" s="122"/>
      <c r="S20" s="122"/>
      <c r="T20" s="122"/>
      <c r="U20" s="122"/>
      <c r="V20" s="352"/>
      <c r="W20" s="79"/>
      <c r="X20" s="79"/>
      <c r="Y20" s="79"/>
      <c r="Z20" s="241"/>
    </row>
    <row r="21" spans="1:26" s="3" customFormat="1" x14ac:dyDescent="0.2">
      <c r="A21" s="3" t="s">
        <v>218</v>
      </c>
      <c r="B21" s="3" t="s">
        <v>259</v>
      </c>
      <c r="C21" s="45">
        <f>'RCA data'!D13</f>
        <v>31</v>
      </c>
      <c r="D21" s="45">
        <f>'RCA data'!E13</f>
        <v>21</v>
      </c>
      <c r="E21" s="45">
        <f>'RCA data'!F13</f>
        <v>25</v>
      </c>
      <c r="F21" s="45">
        <f>'RCA data'!G13</f>
        <v>22</v>
      </c>
      <c r="G21" s="45">
        <f>'RCA data'!H13</f>
        <v>18</v>
      </c>
      <c r="H21" s="45">
        <f>'RCA data'!I13</f>
        <v>32</v>
      </c>
      <c r="I21" s="45">
        <f>'RCA data'!J13</f>
        <v>32.648000000000003</v>
      </c>
      <c r="J21" s="45">
        <f>'RCA data'!K13</f>
        <v>9.0760000000000005</v>
      </c>
      <c r="K21" s="128">
        <f>'RCA data'!L13</f>
        <v>10.337</v>
      </c>
      <c r="L21" s="128">
        <f>'RCA data'!M13</f>
        <v>11.595000000000001</v>
      </c>
      <c r="M21" s="128">
        <f>'RCA data'!N13</f>
        <v>7.33</v>
      </c>
      <c r="N21" s="128">
        <f>'RCA data'!O13</f>
        <v>9.3049999999999997</v>
      </c>
      <c r="O21" s="128">
        <f>'RCA data'!P13</f>
        <v>10.839</v>
      </c>
      <c r="P21" s="128">
        <f>'RCA data'!Q13</f>
        <v>9.9450000000000003</v>
      </c>
      <c r="Q21" s="128">
        <f>'RCA data'!R13</f>
        <v>12.819000000000001</v>
      </c>
      <c r="R21" s="128">
        <f>'RCA data'!S13</f>
        <v>15.012</v>
      </c>
      <c r="S21" s="128">
        <f>'RCA data'!T13</f>
        <v>14.574999999999999</v>
      </c>
      <c r="T21" s="128">
        <f>'RCA data'!U13</f>
        <v>13.451000000000001</v>
      </c>
      <c r="U21" s="128">
        <f>'RCA data'!V13</f>
        <v>6.5359999999999996</v>
      </c>
      <c r="V21" s="374">
        <f>'RCA data'!W13</f>
        <v>8.2240000000000002</v>
      </c>
      <c r="W21" s="100">
        <f>'RCA data'!X13</f>
        <v>8.4295999999999989</v>
      </c>
      <c r="X21" s="100">
        <f>'RCA data'!Y13</f>
        <v>8.6403399999999984</v>
      </c>
      <c r="Y21" s="100">
        <f>'RCA data'!Z13</f>
        <v>8.8563484999999975</v>
      </c>
      <c r="Z21" s="272">
        <f>'RCA data'!AA13</f>
        <v>9.0777572124999963</v>
      </c>
    </row>
    <row r="22" spans="1:26" s="3" customFormat="1" x14ac:dyDescent="0.2">
      <c r="A22" s="3" t="s">
        <v>225</v>
      </c>
      <c r="B22" s="3" t="s">
        <v>259</v>
      </c>
      <c r="C22" s="3">
        <f>('RCA data'!D26+'RCA data'!D27)*-1</f>
        <v>0</v>
      </c>
      <c r="D22" s="3">
        <f>('RCA data'!E26+'RCA data'!E27)*-1</f>
        <v>0</v>
      </c>
      <c r="E22" s="3">
        <f>('RCA data'!F26+'RCA data'!F27)*-1</f>
        <v>0</v>
      </c>
      <c r="F22" s="3">
        <f>('RCA data'!G26+'RCA data'!G27)*-1</f>
        <v>0</v>
      </c>
      <c r="G22" s="3">
        <f>('RCA data'!H26+'RCA data'!H27)*-1</f>
        <v>-0.8</v>
      </c>
      <c r="H22" s="3">
        <f>('RCA data'!I26+'RCA data'!I27)*-1</f>
        <v>-1.1000000000000001</v>
      </c>
      <c r="I22" s="3">
        <f>('RCA data'!J26+'RCA data'!J27)*-1</f>
        <v>-0.91</v>
      </c>
      <c r="J22" s="3">
        <f>('RCA data'!K26+'RCA data'!K27)*-1</f>
        <v>-2.9640000000000004</v>
      </c>
      <c r="K22" s="122">
        <f>('RCA data'!L26+'RCA data'!L27)*-1</f>
        <v>-2.944</v>
      </c>
      <c r="L22" s="122">
        <f>('RCA data'!M26+'RCA data'!M27)*-1</f>
        <v>-3.5700000000000003</v>
      </c>
      <c r="M22" s="122">
        <f>('RCA data'!N26+'RCA data'!N27)*-1</f>
        <v>-2.258</v>
      </c>
      <c r="N22" s="122">
        <f>('RCA data'!O26+'RCA data'!O27)*-1</f>
        <v>-2.1822599999999999</v>
      </c>
      <c r="O22" s="122">
        <f>('RCA data'!P26+'RCA data'!P27)*-1</f>
        <v>-4.2814879999999995</v>
      </c>
      <c r="P22" s="122">
        <f>('RCA data'!Q26+'RCA data'!Q27)*-1</f>
        <v>-2.9619999999999997</v>
      </c>
      <c r="Q22" s="122">
        <f>('RCA data'!R26+'RCA data'!R27)*-1</f>
        <v>-5.4570000000000007</v>
      </c>
      <c r="R22" s="122">
        <f>('RCA data'!S26+'RCA data'!S27)*-1</f>
        <v>-5.2569999999999997</v>
      </c>
      <c r="S22" s="122">
        <f>('RCA data'!T26+'RCA data'!T27)*-1</f>
        <v>-5.0270000000000001</v>
      </c>
      <c r="T22" s="122">
        <f>('RCA data'!U26+'RCA data'!U27)*-1</f>
        <v>-8.4870000000000001</v>
      </c>
      <c r="U22" s="122">
        <f>('RCA data'!V26+'RCA data'!V27)*-1</f>
        <v>-6.2170000000000005</v>
      </c>
      <c r="V22" s="352">
        <f>('RCA data'!W26+'RCA data'!W27)*-1</f>
        <v>-7.9420000000000002</v>
      </c>
      <c r="W22" s="79">
        <f>('RCA data'!X26+'RCA data'!X27)*-1</f>
        <v>-8.1405499999999993</v>
      </c>
      <c r="X22" s="79">
        <f>('RCA data'!Y26+'RCA data'!Y27)*-1</f>
        <v>-8.3440637499999983</v>
      </c>
      <c r="Y22" s="79">
        <f>('RCA data'!Z26+'RCA data'!Z27)*-1</f>
        <v>-8.5526653437499967</v>
      </c>
      <c r="Z22" s="241">
        <f>('RCA data'!AA26+'RCA data'!AA27)*-1</f>
        <v>-8.7664819773437479</v>
      </c>
    </row>
    <row r="23" spans="1:26" s="3" customFormat="1" x14ac:dyDescent="0.2">
      <c r="A23" s="3" t="s">
        <v>219</v>
      </c>
      <c r="B23" s="3" t="s">
        <v>265</v>
      </c>
      <c r="C23" s="3">
        <f>'RCA exp g(l)'!C56*-1</f>
        <v>-6</v>
      </c>
      <c r="D23" s="3">
        <f>'RCA exp g(l)'!D56*-1</f>
        <v>-14</v>
      </c>
      <c r="E23" s="3">
        <f>'RCA exp g(l)'!E56*-1</f>
        <v>-16</v>
      </c>
      <c r="F23" s="3">
        <f>'RCA exp g(l)'!F56*-1</f>
        <v>-22</v>
      </c>
      <c r="G23" s="3">
        <f>'RCA exp g(l)'!G56*-1</f>
        <v>-19</v>
      </c>
      <c r="H23" s="3">
        <f>'RCA exp g(l)'!H56*-1</f>
        <v>-16</v>
      </c>
      <c r="I23" s="69">
        <f>'RCA exp g(l)'!I56*-1</f>
        <v>-10</v>
      </c>
      <c r="J23" s="69">
        <f>'RCA exp g(l)'!J56*-1</f>
        <v>-36</v>
      </c>
      <c r="K23" s="152">
        <f>'RCA exp g(l)'!K56*-1</f>
        <v>-36</v>
      </c>
      <c r="L23" s="152">
        <f>'RCA exp g(l)'!L56*-1</f>
        <v>-37</v>
      </c>
      <c r="M23" s="152">
        <f>'RCA exp g(l)'!M56*-1</f>
        <v>-39</v>
      </c>
      <c r="N23" s="152">
        <f>'RCA exp g(l)'!N56*-1</f>
        <v>-38</v>
      </c>
      <c r="O23" s="152">
        <f>'RCA exp g(l)'!O56*-1</f>
        <v>-35</v>
      </c>
      <c r="P23" s="152">
        <f>'RCA exp g(l)'!P56*-1</f>
        <v>-36</v>
      </c>
      <c r="Q23" s="152">
        <f>'RCA exp g(l)'!Q56*-1</f>
        <v>-22</v>
      </c>
      <c r="R23" s="152">
        <f>'RCA exp g(l)'!R56*-1</f>
        <v>-16</v>
      </c>
      <c r="S23" s="152">
        <f>'RCA exp g(l)'!S56*-1</f>
        <v>-16</v>
      </c>
      <c r="T23" s="152">
        <f>'RCA exp g(l)'!T56*-1</f>
        <v>-14</v>
      </c>
      <c r="U23" s="152">
        <f>'RCA exp g(l)'!U56*-1</f>
        <v>-16</v>
      </c>
      <c r="V23" s="378">
        <f>'RCA exp g(l)'!V56*-1</f>
        <v>-24</v>
      </c>
      <c r="W23" s="110">
        <f>'RCA exp g(l)'!W56*-1</f>
        <v>0</v>
      </c>
      <c r="X23" s="110">
        <f>'RCA exp g(l)'!X56*-1</f>
        <v>-2</v>
      </c>
      <c r="Y23" s="110">
        <f>'RCA exp g(l)'!Y56*-1</f>
        <v>-1</v>
      </c>
      <c r="Z23" s="276">
        <f>'RCA exp g(l)'!Z56*-1</f>
        <v>1</v>
      </c>
    </row>
    <row r="24" spans="1:26" s="3" customFormat="1" x14ac:dyDescent="0.2">
      <c r="A24" s="3" t="s">
        <v>221</v>
      </c>
      <c r="B24" s="3" t="s">
        <v>276</v>
      </c>
      <c r="C24" s="3">
        <f>'RCA interest'!C14</f>
        <v>16.314375000000002</v>
      </c>
      <c r="D24" s="3">
        <f>'RCA interest'!D14</f>
        <v>13.853125</v>
      </c>
      <c r="E24" s="3">
        <f>'RCA interest'!E14</f>
        <v>11.636249999999999</v>
      </c>
      <c r="F24" s="3">
        <f>'RCA interest'!F14</f>
        <v>10.023750000000001</v>
      </c>
      <c r="G24" s="3">
        <f>'RCA interest'!G14</f>
        <v>7.75</v>
      </c>
      <c r="H24" s="3">
        <f>'RCA interest'!H14</f>
        <v>10.7415</v>
      </c>
      <c r="I24" s="3">
        <f>'RCA interest'!I14</f>
        <v>11.112797499999999</v>
      </c>
      <c r="J24" s="3">
        <f>'RCA interest'!J14</f>
        <v>13.632789750000001</v>
      </c>
      <c r="K24" s="122">
        <f>'RCA interest'!K14</f>
        <v>4.3366431250000002</v>
      </c>
      <c r="L24" s="122">
        <f>'RCA interest'!L14</f>
        <v>4.4408170000000009</v>
      </c>
      <c r="M24" s="122">
        <f>'RCA interest'!M14</f>
        <v>3.9929789999999996</v>
      </c>
      <c r="N24" s="122">
        <f>'RCA interest'!N14</f>
        <v>4.8987052499999999</v>
      </c>
      <c r="O24" s="122">
        <f>'RCA interest'!O14</f>
        <v>4.9792900000000007</v>
      </c>
      <c r="P24" s="122">
        <f>'RCA interest'!P14</f>
        <v>4.6010800000000005</v>
      </c>
      <c r="Q24" s="122">
        <f>'RCA interest'!Q14</f>
        <v>6.8999195000000002</v>
      </c>
      <c r="R24" s="122">
        <f>'RCA interest'!R14</f>
        <v>7.8596223749999989</v>
      </c>
      <c r="S24" s="122">
        <f>'RCA interest'!S14</f>
        <v>6.7335725000000011</v>
      </c>
      <c r="T24" s="122">
        <f>'RCA interest'!T14</f>
        <v>6.5199250000000006</v>
      </c>
      <c r="U24" s="122">
        <f>'RCA interest'!U14</f>
        <v>7.2052364999999998</v>
      </c>
      <c r="V24" s="352">
        <f>'RCA interest'!V14</f>
        <v>5.493497500000001</v>
      </c>
      <c r="W24" s="79">
        <f>'RCA interest'!W14</f>
        <v>4.9913298500000005</v>
      </c>
      <c r="X24" s="79">
        <f>'RCA interest'!X14</f>
        <v>5.0077344590000008</v>
      </c>
      <c r="Y24" s="79">
        <f>'RCA interest'!Y14</f>
        <v>5.0248108782990633</v>
      </c>
      <c r="Z24" s="241">
        <f>'RCA interest'!Z14</f>
        <v>5.0426104984185596</v>
      </c>
    </row>
    <row r="25" spans="1:26" s="3" customFormat="1" x14ac:dyDescent="0.2">
      <c r="A25" s="3" t="s">
        <v>222</v>
      </c>
      <c r="B25" s="3" t="s">
        <v>259</v>
      </c>
      <c r="C25" s="3">
        <f>'RCA data'!D14</f>
        <v>0</v>
      </c>
      <c r="D25" s="3">
        <f>'RCA data'!E14</f>
        <v>0</v>
      </c>
      <c r="E25" s="3">
        <f>'RCA data'!F14</f>
        <v>0</v>
      </c>
      <c r="F25" s="3">
        <f>'RCA data'!G14</f>
        <v>0</v>
      </c>
      <c r="G25" s="3">
        <f>'RCA data'!H14</f>
        <v>0</v>
      </c>
      <c r="H25" s="3">
        <f>'RCA data'!I14</f>
        <v>39</v>
      </c>
      <c r="I25" s="3">
        <f>'RCA data'!J14</f>
        <v>0</v>
      </c>
      <c r="J25" s="3">
        <f>'RCA data'!K14</f>
        <v>0</v>
      </c>
      <c r="K25" s="122">
        <f>'RCA data'!L14</f>
        <v>0</v>
      </c>
      <c r="L25" s="122">
        <f>'RCA data'!M14</f>
        <v>0</v>
      </c>
      <c r="M25" s="122">
        <f>'RCA data'!N14</f>
        <v>0</v>
      </c>
      <c r="N25" s="122">
        <f>'RCA data'!O14</f>
        <v>0</v>
      </c>
      <c r="O25" s="122">
        <f>'RCA data'!P14</f>
        <v>0</v>
      </c>
      <c r="P25" s="122">
        <f>'RCA data'!Q14</f>
        <v>0</v>
      </c>
      <c r="Q25" s="122">
        <f>'RCA data'!R14</f>
        <v>0</v>
      </c>
      <c r="R25" s="122">
        <f>'RCA data'!S14</f>
        <v>0</v>
      </c>
      <c r="S25" s="122">
        <f>'RCA data'!T14</f>
        <v>0</v>
      </c>
      <c r="T25" s="122">
        <f>'RCA data'!U14</f>
        <v>0</v>
      </c>
      <c r="U25" s="122">
        <f>'RCA data'!V14</f>
        <v>0</v>
      </c>
      <c r="V25" s="352">
        <f>'RCA data'!W14</f>
        <v>0</v>
      </c>
      <c r="W25" s="79">
        <f>'RCA data'!X14</f>
        <v>0</v>
      </c>
      <c r="X25" s="79">
        <f>'RCA data'!Y14</f>
        <v>0</v>
      </c>
      <c r="Y25" s="79">
        <f>'RCA data'!Z14</f>
        <v>0</v>
      </c>
      <c r="Z25" s="241">
        <f>'RCA data'!AA14</f>
        <v>0</v>
      </c>
    </row>
    <row r="26" spans="1:26" s="3" customFormat="1" x14ac:dyDescent="0.2">
      <c r="A26" s="3" t="s">
        <v>223</v>
      </c>
      <c r="B26" s="3" t="s">
        <v>265</v>
      </c>
      <c r="C26" s="6">
        <f>'RCA exp g(l)'!C46*-1</f>
        <v>0</v>
      </c>
      <c r="D26" s="6">
        <f>'RCA exp g(l)'!D46*-1</f>
        <v>0</v>
      </c>
      <c r="E26" s="6">
        <f>'RCA exp g(l)'!E46*-1</f>
        <v>0</v>
      </c>
      <c r="F26" s="6">
        <f>'RCA exp g(l)'!F46*-1</f>
        <v>0</v>
      </c>
      <c r="G26" s="6">
        <f>'RCA exp g(l)'!G46*-1</f>
        <v>0</v>
      </c>
      <c r="H26" s="6">
        <f>'RCA exp g(l)'!H46*-1</f>
        <v>-39</v>
      </c>
      <c r="I26" s="6">
        <f>'RCA exp g(l)'!I46*-1</f>
        <v>0</v>
      </c>
      <c r="J26" s="6">
        <f>'RCA exp g(l)'!J46*-1</f>
        <v>0</v>
      </c>
      <c r="K26" s="126">
        <f>'RCA exp g(l)'!K46*-1</f>
        <v>0</v>
      </c>
      <c r="L26" s="126">
        <f>'RCA exp g(l)'!L46*-1</f>
        <v>0</v>
      </c>
      <c r="M26" s="126">
        <f>'RCA exp g(l)'!M46*-1</f>
        <v>0</v>
      </c>
      <c r="N26" s="126">
        <f>'RCA exp g(l)'!N46*-1</f>
        <v>0</v>
      </c>
      <c r="O26" s="126">
        <f>'RCA exp g(l)'!O46*-1</f>
        <v>0</v>
      </c>
      <c r="P26" s="126">
        <f>'RCA exp g(l)'!P46*-1</f>
        <v>0</v>
      </c>
      <c r="Q26" s="126">
        <f>'RCA exp g(l)'!Q46*-1</f>
        <v>0</v>
      </c>
      <c r="R26" s="126">
        <f>'RCA exp g(l)'!R46*-1</f>
        <v>0</v>
      </c>
      <c r="S26" s="126">
        <f>'RCA exp g(l)'!S46*-1</f>
        <v>0</v>
      </c>
      <c r="T26" s="126">
        <f>'RCA exp g(l)'!T46*-1</f>
        <v>0</v>
      </c>
      <c r="U26" s="126">
        <f>'RCA exp g(l)'!U46*-1</f>
        <v>0</v>
      </c>
      <c r="V26" s="353">
        <f>'RCA exp g(l)'!V46*-1</f>
        <v>0</v>
      </c>
      <c r="W26" s="81">
        <f>'RCA exp g(l)'!W46*-1</f>
        <v>0</v>
      </c>
      <c r="X26" s="81">
        <f>'RCA exp g(l)'!X46*-1</f>
        <v>0</v>
      </c>
      <c r="Y26" s="81">
        <f>'RCA exp g(l)'!Y46*-1</f>
        <v>0</v>
      </c>
      <c r="Z26" s="242">
        <f>'RCA exp g(l)'!Z46*-1</f>
        <v>0</v>
      </c>
    </row>
    <row r="27" spans="1:26" s="8" customFormat="1" x14ac:dyDescent="0.2">
      <c r="A27" s="8" t="s">
        <v>243</v>
      </c>
      <c r="B27" s="8" t="s">
        <v>31</v>
      </c>
      <c r="C27" s="8">
        <f t="shared" ref="C27:J27" si="21">SUM(C21:C26)</f>
        <v>41.314374999999998</v>
      </c>
      <c r="D27" s="8">
        <f t="shared" si="21"/>
        <v>20.853124999999999</v>
      </c>
      <c r="E27" s="8">
        <f t="shared" si="21"/>
        <v>20.636249999999997</v>
      </c>
      <c r="F27" s="8">
        <f t="shared" si="21"/>
        <v>10.023750000000001</v>
      </c>
      <c r="G27" s="8">
        <f t="shared" si="21"/>
        <v>5.9499999999999993</v>
      </c>
      <c r="H27" s="8">
        <f t="shared" si="21"/>
        <v>25.641500000000008</v>
      </c>
      <c r="I27" s="8">
        <f t="shared" si="21"/>
        <v>32.850797499999999</v>
      </c>
      <c r="J27" s="8">
        <f t="shared" si="21"/>
        <v>-16.255210249999998</v>
      </c>
      <c r="K27" s="120">
        <f t="shared" ref="K27:X27" si="22">SUM(K21:K26)</f>
        <v>-24.270356874999997</v>
      </c>
      <c r="L27" s="120">
        <f t="shared" si="22"/>
        <v>-24.534182999999999</v>
      </c>
      <c r="M27" s="120">
        <f t="shared" si="22"/>
        <v>-29.935020999999999</v>
      </c>
      <c r="N27" s="120">
        <f t="shared" si="22"/>
        <v>-25.978554750000001</v>
      </c>
      <c r="O27" s="120">
        <f t="shared" si="22"/>
        <v>-23.463197999999998</v>
      </c>
      <c r="P27" s="120">
        <f t="shared" si="22"/>
        <v>-24.41592</v>
      </c>
      <c r="Q27" s="120">
        <f t="shared" si="22"/>
        <v>-7.7380804999999997</v>
      </c>
      <c r="R27" s="300">
        <f t="shared" si="22"/>
        <v>1.6146223749999997</v>
      </c>
      <c r="S27" s="120">
        <f t="shared" si="22"/>
        <v>0.28157249999999934</v>
      </c>
      <c r="T27" s="120">
        <f t="shared" si="22"/>
        <v>-2.516074999999999</v>
      </c>
      <c r="U27" s="120">
        <f t="shared" si="22"/>
        <v>-8.4757635000000011</v>
      </c>
      <c r="V27" s="350">
        <f t="shared" si="22"/>
        <v>-18.2245025</v>
      </c>
      <c r="W27" s="78">
        <f t="shared" si="22"/>
        <v>5.2803798500000001</v>
      </c>
      <c r="X27" s="78">
        <f t="shared" si="22"/>
        <v>3.3040107090000008</v>
      </c>
      <c r="Y27" s="78">
        <f t="shared" ref="Y27:Z27" si="23">SUM(Y21:Y26)</f>
        <v>4.3284940345490641</v>
      </c>
      <c r="Z27" s="243">
        <f t="shared" si="23"/>
        <v>6.353885733574808</v>
      </c>
    </row>
    <row r="28" spans="1:26" x14ac:dyDescent="0.2">
      <c r="A28" s="3"/>
      <c r="U28" s="527"/>
      <c r="V28" s="379"/>
      <c r="W28" s="214"/>
      <c r="X28" s="214"/>
      <c r="Y28" s="214"/>
      <c r="Z28" s="277"/>
    </row>
    <row r="30" spans="1:26" x14ac:dyDescent="0.2">
      <c r="P30" s="310" t="s">
        <v>410</v>
      </c>
    </row>
    <row r="31" spans="1:26" x14ac:dyDescent="0.2">
      <c r="P31" s="310"/>
    </row>
    <row r="32" spans="1:26" x14ac:dyDescent="0.2">
      <c r="P32" s="310" t="s">
        <v>411</v>
      </c>
    </row>
    <row r="33" spans="16:22" x14ac:dyDescent="0.2">
      <c r="P33" s="196" t="s">
        <v>415</v>
      </c>
      <c r="T33" s="116">
        <v>-5</v>
      </c>
      <c r="U33" s="116">
        <v>-3</v>
      </c>
      <c r="V33" s="345">
        <v>-3</v>
      </c>
    </row>
    <row r="34" spans="16:22" x14ac:dyDescent="0.2">
      <c r="P34" s="196"/>
      <c r="Q34" s="196" t="s">
        <v>416</v>
      </c>
    </row>
    <row r="35" spans="16:22" ht="15.75" thickBot="1" x14ac:dyDescent="0.3">
      <c r="R35" s="310" t="s">
        <v>412</v>
      </c>
      <c r="T35" s="380">
        <f>T15+T33</f>
        <v>-2.0145374999999994</v>
      </c>
      <c r="U35" s="380">
        <f>U15+U33</f>
        <v>-4.1293817500000003</v>
      </c>
      <c r="V35" s="380">
        <f>V15+V33</f>
        <v>-8.1412512499999998</v>
      </c>
    </row>
    <row r="36" spans="16:22" ht="13.5" thickTop="1" x14ac:dyDescent="0.2"/>
  </sheetData>
  <phoneticPr fontId="0" type="noConversion"/>
  <pageMargins left="0.74803149606299213" right="0.74803149606299213" top="0.98425196850393704" bottom="0.98425196850393704" header="0.51181102362204722" footer="0.51181102362204722"/>
  <pageSetup paperSize="5" orientation="landscape" cellComments="asDisplayed" r:id="rId1"/>
  <headerFooter alignWithMargins="0">
    <oddFooter>&amp;L&amp;"Arial,Bold"&amp;F&amp;C&amp;A&amp;R&amp;D  &amp;T</oddFoot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41"/>
  <sheetViews>
    <sheetView topLeftCell="A15" workbookViewId="0">
      <selection activeCell="AB36" sqref="AB36"/>
    </sheetView>
  </sheetViews>
  <sheetFormatPr baseColWidth="10" defaultColWidth="9.140625" defaultRowHeight="12.75" outlineLevelCol="1" x14ac:dyDescent="0.2"/>
  <cols>
    <col min="1" max="1" width="41.140625" customWidth="1"/>
    <col min="2" max="2" width="26.7109375" customWidth="1"/>
    <col min="3" max="4" width="0" hidden="1" customWidth="1"/>
    <col min="5" max="5" width="8.85546875" hidden="1" customWidth="1"/>
    <col min="6" max="6" width="11.5703125" hidden="1" customWidth="1"/>
    <col min="7" max="13" width="11.5703125" hidden="1" customWidth="1" outlineLevel="1"/>
    <col min="14" max="14" width="11" hidden="1" customWidth="1" outlineLevel="1"/>
    <col min="15" max="15" width="12" hidden="1" customWidth="1" outlineLevel="1"/>
    <col min="16" max="16" width="13.42578125" hidden="1" customWidth="1" outlineLevel="1"/>
    <col min="17" max="17" width="13.42578125" style="116" hidden="1" customWidth="1" outlineLevel="1"/>
    <col min="18" max="18" width="15" style="116" hidden="1" customWidth="1" outlineLevel="1"/>
    <col min="19" max="19" width="14.42578125" style="116" hidden="1" customWidth="1" outlineLevel="1"/>
    <col min="20" max="20" width="4.85546875" style="116" hidden="1" customWidth="1" outlineLevel="1"/>
    <col min="21" max="21" width="13.42578125" style="116" bestFit="1" customWidth="1" collapsed="1"/>
    <col min="22" max="25" width="13.42578125" style="116" bestFit="1" customWidth="1"/>
    <col min="26" max="26" width="15.140625" style="116" customWidth="1"/>
    <col min="27" max="27" width="14.5703125" style="116" bestFit="1" customWidth="1"/>
    <col min="28" max="28" width="15.5703125" style="345" bestFit="1" customWidth="1"/>
    <col min="29" max="31" width="10.42578125" style="76" hidden="1" customWidth="1" outlineLevel="1"/>
    <col min="32" max="32" width="10.42578125" style="239" hidden="1" customWidth="1" outlineLevel="1"/>
    <col min="33" max="33" width="9.140625" collapsed="1"/>
  </cols>
  <sheetData>
    <row r="1" spans="1:32" ht="15.75" x14ac:dyDescent="0.25">
      <c r="A1" s="18" t="s">
        <v>67</v>
      </c>
    </row>
    <row r="2" spans="1:32" x14ac:dyDescent="0.2">
      <c r="A2" s="2" t="s">
        <v>195</v>
      </c>
    </row>
    <row r="3" spans="1:32" x14ac:dyDescent="0.2">
      <c r="Z3" s="346" t="s">
        <v>178</v>
      </c>
      <c r="AA3" s="346" t="s">
        <v>294</v>
      </c>
      <c r="AB3" s="344" t="s">
        <v>309</v>
      </c>
      <c r="AC3" s="316" t="s">
        <v>315</v>
      </c>
      <c r="AD3" s="316" t="s">
        <v>316</v>
      </c>
      <c r="AE3" s="316" t="s">
        <v>317</v>
      </c>
      <c r="AF3" s="317" t="s">
        <v>318</v>
      </c>
    </row>
    <row r="4" spans="1:32" s="2" customFormat="1" ht="13.5" thickBot="1" x14ac:dyDescent="0.25">
      <c r="A4" s="19" t="s">
        <v>1</v>
      </c>
      <c r="B4" s="20" t="s">
        <v>26</v>
      </c>
      <c r="C4" s="20">
        <v>1990</v>
      </c>
      <c r="D4" s="20">
        <v>1991</v>
      </c>
      <c r="E4" s="20">
        <v>1992</v>
      </c>
      <c r="F4" s="20">
        <v>1993</v>
      </c>
      <c r="G4" s="20">
        <v>1994</v>
      </c>
      <c r="H4" s="20">
        <v>1995</v>
      </c>
      <c r="I4" s="20">
        <v>1996</v>
      </c>
      <c r="J4" s="20">
        <v>1997</v>
      </c>
      <c r="K4" s="20">
        <v>1998</v>
      </c>
      <c r="L4" s="20">
        <v>1999</v>
      </c>
      <c r="M4" s="20">
        <v>2000</v>
      </c>
      <c r="N4" s="20">
        <v>2001</v>
      </c>
      <c r="O4" s="20">
        <v>2002</v>
      </c>
      <c r="P4" s="20">
        <v>2003</v>
      </c>
      <c r="Q4" s="117">
        <v>2004</v>
      </c>
      <c r="R4" s="117">
        <v>2005</v>
      </c>
      <c r="S4" s="117">
        <v>2006</v>
      </c>
      <c r="T4" s="117">
        <v>2007</v>
      </c>
      <c r="U4" s="117">
        <v>2008</v>
      </c>
      <c r="V4" s="117">
        <v>2009</v>
      </c>
      <c r="W4" s="117">
        <v>2010</v>
      </c>
      <c r="X4" s="117">
        <v>2011</v>
      </c>
      <c r="Y4" s="117">
        <v>2012</v>
      </c>
      <c r="Z4" s="117">
        <v>2013</v>
      </c>
      <c r="AA4" s="117">
        <v>2014</v>
      </c>
      <c r="AB4" s="349">
        <v>2015</v>
      </c>
      <c r="AC4" s="77">
        <v>2016</v>
      </c>
      <c r="AD4" s="77">
        <v>2017</v>
      </c>
      <c r="AE4" s="77">
        <v>2018</v>
      </c>
      <c r="AF4" s="240">
        <v>2019</v>
      </c>
    </row>
    <row r="6" spans="1:32" s="3" customFormat="1" x14ac:dyDescent="0.2">
      <c r="A6" s="12" t="s">
        <v>236</v>
      </c>
      <c r="Q6" s="122"/>
      <c r="R6" s="122"/>
      <c r="S6" s="122"/>
      <c r="T6" s="122"/>
      <c r="U6" s="122"/>
      <c r="V6" s="122"/>
      <c r="W6" s="122"/>
      <c r="X6" s="122"/>
      <c r="Y6" s="122"/>
      <c r="Z6" s="122"/>
      <c r="AA6" s="122"/>
      <c r="AB6" s="352"/>
      <c r="AC6" s="79"/>
      <c r="AD6" s="79"/>
      <c r="AE6" s="79"/>
      <c r="AF6" s="241"/>
    </row>
    <row r="7" spans="1:32" s="3" customFormat="1" x14ac:dyDescent="0.2">
      <c r="Q7" s="122"/>
      <c r="R7" s="122"/>
      <c r="S7" s="122"/>
      <c r="T7" s="122"/>
      <c r="U7" s="122"/>
      <c r="V7" s="122"/>
      <c r="W7" s="122"/>
      <c r="X7" s="122"/>
      <c r="Y7" s="122"/>
      <c r="Z7" s="122"/>
      <c r="AA7" s="122"/>
      <c r="AB7" s="352"/>
      <c r="AC7" s="79"/>
      <c r="AD7" s="79"/>
      <c r="AE7" s="79"/>
      <c r="AF7" s="241"/>
    </row>
    <row r="8" spans="1:32" s="3" customFormat="1" x14ac:dyDescent="0.2">
      <c r="A8" s="3" t="s">
        <v>197</v>
      </c>
      <c r="B8" s="3" t="s">
        <v>238</v>
      </c>
      <c r="C8" s="3">
        <f>C30/2</f>
        <v>12195.5</v>
      </c>
      <c r="D8" s="3">
        <f>D30/2</f>
        <v>13739.5</v>
      </c>
      <c r="E8" s="3">
        <f>E30/2</f>
        <v>15390.5</v>
      </c>
      <c r="F8" s="3">
        <f>F30/2</f>
        <v>16999</v>
      </c>
      <c r="G8" s="3">
        <f t="shared" ref="G8:N8" si="0">G30/2</f>
        <v>18424</v>
      </c>
      <c r="H8" s="3">
        <f t="shared" si="0"/>
        <v>19503.5</v>
      </c>
      <c r="I8" s="3">
        <f t="shared" si="0"/>
        <v>20916.5</v>
      </c>
      <c r="J8" s="3">
        <f t="shared" si="0"/>
        <v>23235</v>
      </c>
      <c r="K8" s="3">
        <f t="shared" si="0"/>
        <v>24317.5</v>
      </c>
      <c r="L8" s="3">
        <f t="shared" si="0"/>
        <v>25173</v>
      </c>
      <c r="M8" s="3">
        <f t="shared" si="0"/>
        <v>27543.5</v>
      </c>
      <c r="N8" s="3">
        <f t="shared" si="0"/>
        <v>32184.5</v>
      </c>
      <c r="O8" s="3">
        <f t="shared" ref="O8:P10" si="1">O30/2</f>
        <v>33659.5</v>
      </c>
      <c r="P8" s="3">
        <f t="shared" si="1"/>
        <v>35504.5</v>
      </c>
      <c r="Q8" s="122">
        <f t="shared" ref="Q8:U10" si="2">Q30/2</f>
        <v>37044.5</v>
      </c>
      <c r="R8" s="122">
        <f t="shared" si="2"/>
        <v>40185.5</v>
      </c>
      <c r="S8" s="122">
        <f t="shared" si="2"/>
        <v>41560</v>
      </c>
      <c r="T8" s="122">
        <f t="shared" si="2"/>
        <v>44178</v>
      </c>
      <c r="U8" s="122">
        <f t="shared" si="2"/>
        <v>46011</v>
      </c>
      <c r="V8" s="227">
        <f t="shared" ref="V8:W10" si="3">V30/2</f>
        <v>48304</v>
      </c>
      <c r="W8" s="122">
        <f t="shared" si="3"/>
        <v>49558.5</v>
      </c>
      <c r="X8" s="122">
        <f t="shared" ref="X8:Y10" si="4">X30/2</f>
        <v>51846.5</v>
      </c>
      <c r="Y8" s="122">
        <f t="shared" si="4"/>
        <v>52977</v>
      </c>
      <c r="Z8" s="122">
        <f t="shared" ref="Z8:AA10" si="5">Z30/2</f>
        <v>54762</v>
      </c>
      <c r="AA8" s="122">
        <f t="shared" si="5"/>
        <v>56900.5</v>
      </c>
      <c r="AB8" s="352">
        <f t="shared" ref="AB8:AC10" si="6">AB30/2</f>
        <v>58183.5</v>
      </c>
      <c r="AC8" s="79">
        <f t="shared" si="6"/>
        <v>60445.578869909761</v>
      </c>
      <c r="AD8" s="79">
        <f t="shared" ref="AD8:AE10" si="7">AD30/2</f>
        <v>62837.272937482718</v>
      </c>
      <c r="AE8" s="79">
        <f t="shared" si="7"/>
        <v>65362.388075468276</v>
      </c>
      <c r="AF8" s="241">
        <f t="shared" ref="AF8" si="8">AF30/2</f>
        <v>68033.241449586654</v>
      </c>
    </row>
    <row r="9" spans="1:32" s="3" customFormat="1" x14ac:dyDescent="0.2">
      <c r="A9" s="3" t="s">
        <v>206</v>
      </c>
      <c r="B9" s="3" t="s">
        <v>238</v>
      </c>
      <c r="C9" s="3">
        <f t="shared" ref="C9:F10" si="9">C31/2</f>
        <v>0</v>
      </c>
      <c r="D9" s="3">
        <f t="shared" si="9"/>
        <v>0</v>
      </c>
      <c r="E9" s="3">
        <f t="shared" si="9"/>
        <v>0</v>
      </c>
      <c r="F9" s="3">
        <f t="shared" si="9"/>
        <v>0</v>
      </c>
      <c r="G9" s="3">
        <f t="shared" ref="G9:N9" si="10">G31/2</f>
        <v>0</v>
      </c>
      <c r="H9" s="3">
        <f t="shared" si="10"/>
        <v>0</v>
      </c>
      <c r="I9" s="3">
        <f t="shared" si="10"/>
        <v>250</v>
      </c>
      <c r="J9" s="3">
        <f t="shared" si="10"/>
        <v>0</v>
      </c>
      <c r="K9" s="3">
        <f t="shared" si="10"/>
        <v>0</v>
      </c>
      <c r="L9" s="3">
        <f t="shared" si="10"/>
        <v>0</v>
      </c>
      <c r="M9" s="3">
        <f t="shared" si="10"/>
        <v>0</v>
      </c>
      <c r="N9" s="3">
        <f t="shared" si="10"/>
        <v>0</v>
      </c>
      <c r="O9" s="3">
        <f t="shared" si="1"/>
        <v>0</v>
      </c>
      <c r="P9" s="3">
        <f t="shared" si="1"/>
        <v>0</v>
      </c>
      <c r="Q9" s="122">
        <f t="shared" si="2"/>
        <v>0</v>
      </c>
      <c r="R9" s="122">
        <f t="shared" si="2"/>
        <v>0</v>
      </c>
      <c r="S9" s="122">
        <f t="shared" si="2"/>
        <v>0</v>
      </c>
      <c r="T9" s="122">
        <f t="shared" si="2"/>
        <v>0</v>
      </c>
      <c r="U9" s="122">
        <f t="shared" si="2"/>
        <v>0</v>
      </c>
      <c r="V9" s="227">
        <f t="shared" si="3"/>
        <v>0</v>
      </c>
      <c r="W9" s="122">
        <f t="shared" si="3"/>
        <v>0</v>
      </c>
      <c r="X9" s="122">
        <f t="shared" si="4"/>
        <v>0</v>
      </c>
      <c r="Y9" s="122">
        <f t="shared" si="4"/>
        <v>0</v>
      </c>
      <c r="Z9" s="122">
        <f t="shared" si="5"/>
        <v>0</v>
      </c>
      <c r="AA9" s="122">
        <f t="shared" si="5"/>
        <v>0</v>
      </c>
      <c r="AB9" s="352">
        <f t="shared" si="6"/>
        <v>0</v>
      </c>
      <c r="AC9" s="79">
        <f t="shared" si="6"/>
        <v>0</v>
      </c>
      <c r="AD9" s="79">
        <f t="shared" si="7"/>
        <v>0</v>
      </c>
      <c r="AE9" s="79">
        <f t="shared" si="7"/>
        <v>0</v>
      </c>
      <c r="AF9" s="241">
        <f t="shared" ref="AF9" si="11">AF31/2</f>
        <v>0</v>
      </c>
    </row>
    <row r="10" spans="1:32" s="3" customFormat="1" x14ac:dyDescent="0.2">
      <c r="A10" s="3" t="s">
        <v>198</v>
      </c>
      <c r="B10" s="3" t="s">
        <v>238</v>
      </c>
      <c r="C10" s="3">
        <f t="shared" si="9"/>
        <v>-10062</v>
      </c>
      <c r="D10" s="3">
        <f t="shared" si="9"/>
        <v>-12348.5</v>
      </c>
      <c r="E10" s="3">
        <f t="shared" si="9"/>
        <v>-13886.5</v>
      </c>
      <c r="F10" s="3">
        <f t="shared" si="9"/>
        <v>-16855.5</v>
      </c>
      <c r="G10" s="3">
        <f t="shared" ref="G10:N10" si="12">G32/2</f>
        <v>-17121</v>
      </c>
      <c r="H10" s="3">
        <f t="shared" si="12"/>
        <v>-19046</v>
      </c>
      <c r="I10" s="3">
        <f t="shared" si="12"/>
        <v>-21506.5</v>
      </c>
      <c r="J10" s="3">
        <f t="shared" si="12"/>
        <v>-24450.5</v>
      </c>
      <c r="K10" s="3">
        <f t="shared" si="12"/>
        <v>-27191</v>
      </c>
      <c r="L10" s="3">
        <f t="shared" si="12"/>
        <v>-30519.5</v>
      </c>
      <c r="M10" s="3">
        <f t="shared" si="12"/>
        <v>-34390</v>
      </c>
      <c r="N10" s="3">
        <f t="shared" si="12"/>
        <v>-36214.5</v>
      </c>
      <c r="O10" s="3">
        <f t="shared" si="1"/>
        <v>-37928.5</v>
      </c>
      <c r="P10" s="3">
        <f t="shared" si="1"/>
        <v>-39578.5</v>
      </c>
      <c r="Q10" s="122">
        <f t="shared" si="2"/>
        <v>-41395.5</v>
      </c>
      <c r="R10" s="122">
        <f t="shared" si="2"/>
        <v>-44347</v>
      </c>
      <c r="S10" s="122">
        <f t="shared" si="2"/>
        <v>-47425</v>
      </c>
      <c r="T10" s="122">
        <f t="shared" si="2"/>
        <v>-52458.5</v>
      </c>
      <c r="U10" s="122">
        <f t="shared" si="2"/>
        <v>-53478.5</v>
      </c>
      <c r="V10" s="227">
        <f t="shared" si="3"/>
        <v>-54556</v>
      </c>
      <c r="W10" s="122">
        <f t="shared" si="3"/>
        <v>-57123</v>
      </c>
      <c r="X10" s="122">
        <f t="shared" si="4"/>
        <v>-57842.5</v>
      </c>
      <c r="Y10" s="122">
        <f t="shared" si="4"/>
        <v>-59932</v>
      </c>
      <c r="Z10" s="122">
        <f t="shared" si="5"/>
        <v>-65433.5</v>
      </c>
      <c r="AA10" s="122">
        <f t="shared" si="5"/>
        <v>-71538</v>
      </c>
      <c r="AB10" s="352">
        <f t="shared" si="6"/>
        <v>-78489</v>
      </c>
      <c r="AC10" s="79">
        <f t="shared" si="6"/>
        <v>-85402.937442314142</v>
      </c>
      <c r="AD10" s="79">
        <f t="shared" si="7"/>
        <v>-91866.574124607039</v>
      </c>
      <c r="AE10" s="79">
        <f t="shared" si="7"/>
        <v>-98069.625199640723</v>
      </c>
      <c r="AF10" s="241">
        <f t="shared" ref="AF10" si="13">AF32/2</f>
        <v>-103848.70271947625</v>
      </c>
    </row>
    <row r="11" spans="1:32" s="3" customFormat="1" x14ac:dyDescent="0.2">
      <c r="A11" s="3" t="s">
        <v>196</v>
      </c>
      <c r="B11" s="3" t="s">
        <v>238</v>
      </c>
      <c r="C11" s="3">
        <f>C34/2</f>
        <v>0</v>
      </c>
      <c r="D11" s="3">
        <f>D34/2</f>
        <v>721.71500000000015</v>
      </c>
      <c r="E11" s="3">
        <f>E34/2</f>
        <v>343.21125000000029</v>
      </c>
      <c r="F11" s="3">
        <f>F34/2</f>
        <v>1586.2581249999985</v>
      </c>
      <c r="G11" s="3">
        <f t="shared" ref="G11:M11" si="14">G34/2</f>
        <v>746.65187499999774</v>
      </c>
      <c r="H11" s="3">
        <f t="shared" si="14"/>
        <v>1618.3456249999999</v>
      </c>
      <c r="I11" s="3">
        <f t="shared" si="14"/>
        <v>2252.1831250000014</v>
      </c>
      <c r="J11" s="3">
        <f t="shared" si="14"/>
        <v>2676.4274999999998</v>
      </c>
      <c r="K11" s="3">
        <f t="shared" si="14"/>
        <v>3727.4987500000007</v>
      </c>
      <c r="L11" s="3">
        <f t="shared" si="14"/>
        <v>5475.6399999999976</v>
      </c>
      <c r="M11" s="3">
        <f t="shared" si="14"/>
        <v>6065.717499999997</v>
      </c>
      <c r="N11" s="3">
        <f>(N34/2)-1</f>
        <v>2750.3574999999964</v>
      </c>
      <c r="O11" s="3">
        <f t="shared" ref="O11:U11" si="15">O34/2</f>
        <v>2645.717499999997</v>
      </c>
      <c r="P11" s="3">
        <f t="shared" si="15"/>
        <v>2112.1374999999953</v>
      </c>
      <c r="Q11" s="122">
        <f t="shared" si="15"/>
        <v>2027.5249999999924</v>
      </c>
      <c r="R11" s="122">
        <f t="shared" si="15"/>
        <v>1492.7999999999938</v>
      </c>
      <c r="S11" s="122">
        <f t="shared" si="15"/>
        <v>2887.5749999999953</v>
      </c>
      <c r="T11" s="122">
        <f t="shared" si="15"/>
        <v>4560.4006249999929</v>
      </c>
      <c r="U11" s="122">
        <f t="shared" si="15"/>
        <v>2617.4881249999944</v>
      </c>
      <c r="V11" s="227">
        <f t="shared" ref="V11:AA11" si="16">V34/2</f>
        <v>276.83999999999469</v>
      </c>
      <c r="W11" s="122">
        <f t="shared" si="16"/>
        <v>772.46767671427915</v>
      </c>
      <c r="X11" s="122">
        <f t="shared" si="16"/>
        <v>-1647.943947785725</v>
      </c>
      <c r="Y11" s="122">
        <f>Y34/2</f>
        <v>-1236.5293332745659</v>
      </c>
      <c r="Z11" s="122">
        <f t="shared" si="16"/>
        <v>1851.1560352254292</v>
      </c>
      <c r="AA11" s="122">
        <f t="shared" si="16"/>
        <v>4815.5733102254362</v>
      </c>
      <c r="AB11" s="352">
        <f>AB34/2</f>
        <v>8991.2793117254478</v>
      </c>
      <c r="AC11" s="79">
        <f>AC34/2</f>
        <v>11509.774453994069</v>
      </c>
      <c r="AD11" s="79">
        <f>AD34/2</f>
        <v>13015.022258302146</v>
      </c>
      <c r="AE11" s="79">
        <f>AE34/2</f>
        <v>13775.503384187257</v>
      </c>
      <c r="AF11" s="241">
        <f>AF34/2</f>
        <v>13661.871525199494</v>
      </c>
    </row>
    <row r="12" spans="1:32" s="3" customFormat="1" x14ac:dyDescent="0.2">
      <c r="A12" s="3" t="s">
        <v>203</v>
      </c>
      <c r="B12" s="3" t="s">
        <v>238</v>
      </c>
      <c r="C12" s="3">
        <f>C38/2</f>
        <v>446.5</v>
      </c>
      <c r="D12" s="3">
        <f>D38/2</f>
        <v>472.31750000000011</v>
      </c>
      <c r="E12" s="3">
        <f>E38/2</f>
        <v>590.31750000000011</v>
      </c>
      <c r="F12" s="3">
        <f>F38/2</f>
        <v>721.31750000000011</v>
      </c>
      <c r="G12" s="3">
        <f t="shared" ref="G12:N12" si="17">G38/2</f>
        <v>404.81750000000193</v>
      </c>
      <c r="H12" s="3">
        <f t="shared" si="17"/>
        <v>401.31750000000284</v>
      </c>
      <c r="I12" s="3">
        <f t="shared" si="17"/>
        <v>351.31750000000056</v>
      </c>
      <c r="J12" s="3">
        <f t="shared" si="17"/>
        <v>338.31749999999943</v>
      </c>
      <c r="K12" s="3">
        <f t="shared" si="17"/>
        <v>351.81750000000102</v>
      </c>
      <c r="L12" s="3">
        <f t="shared" si="17"/>
        <v>410.31750000000011</v>
      </c>
      <c r="M12" s="3">
        <f t="shared" si="17"/>
        <v>421.31750000000306</v>
      </c>
      <c r="N12" s="3">
        <f t="shared" si="17"/>
        <v>435.80031500000382</v>
      </c>
      <c r="O12" s="3">
        <f t="shared" ref="O12:U12" si="18">O38/2</f>
        <v>449.1789020000042</v>
      </c>
      <c r="P12" s="3">
        <f t="shared" si="18"/>
        <v>472.2073145000038</v>
      </c>
      <c r="Q12" s="122">
        <f t="shared" si="18"/>
        <v>497.13549750000516</v>
      </c>
      <c r="R12" s="122">
        <f t="shared" si="18"/>
        <v>522.53073100000802</v>
      </c>
      <c r="S12" s="122">
        <f t="shared" si="18"/>
        <v>529.45758061765332</v>
      </c>
      <c r="T12" s="122">
        <f t="shared" si="18"/>
        <v>649.83554023529905</v>
      </c>
      <c r="U12" s="122">
        <f t="shared" si="18"/>
        <v>687.3208343529484</v>
      </c>
      <c r="V12" s="227">
        <f t="shared" ref="V12:AD12" si="19">V38/2</f>
        <v>763.52104947059343</v>
      </c>
      <c r="W12" s="122">
        <f t="shared" si="19"/>
        <v>773.87541058824002</v>
      </c>
      <c r="X12" s="122">
        <f t="shared" si="19"/>
        <v>799.45422620588795</v>
      </c>
      <c r="Y12" s="122">
        <f t="shared" si="19"/>
        <v>825.91103732353861</v>
      </c>
      <c r="Z12" s="122">
        <f t="shared" si="19"/>
        <v>853.01835694118824</v>
      </c>
      <c r="AA12" s="122">
        <f t="shared" si="19"/>
        <v>881.60331555883761</v>
      </c>
      <c r="AB12" s="352">
        <f t="shared" si="19"/>
        <v>895.46956602647913</v>
      </c>
      <c r="AC12" s="79">
        <f t="shared" si="19"/>
        <v>910.37871949425119</v>
      </c>
      <c r="AD12" s="79">
        <f t="shared" si="19"/>
        <v>924.64029045566429</v>
      </c>
      <c r="AE12" s="79">
        <f t="shared" ref="AE12:AF12" si="20">AE38/2</f>
        <v>938.31987110463797</v>
      </c>
      <c r="AF12" s="241">
        <f t="shared" si="20"/>
        <v>951.39729337327958</v>
      </c>
    </row>
    <row r="13" spans="1:32" s="301" customFormat="1" x14ac:dyDescent="0.2">
      <c r="A13" s="306" t="s">
        <v>403</v>
      </c>
      <c r="B13" s="301" t="s">
        <v>238</v>
      </c>
      <c r="U13" s="301">
        <f>U37/2</f>
        <v>0</v>
      </c>
      <c r="V13" s="307">
        <f t="shared" ref="V13:AD13" si="21">V37/2</f>
        <v>0</v>
      </c>
      <c r="W13" s="301">
        <f t="shared" si="21"/>
        <v>0</v>
      </c>
      <c r="X13" s="301">
        <f t="shared" si="21"/>
        <v>0</v>
      </c>
      <c r="Y13" s="301">
        <f t="shared" si="21"/>
        <v>0</v>
      </c>
      <c r="Z13" s="301">
        <f t="shared" si="21"/>
        <v>-0.5</v>
      </c>
      <c r="AA13" s="122">
        <f t="shared" si="21"/>
        <v>-1</v>
      </c>
      <c r="AB13" s="301">
        <f t="shared" si="21"/>
        <v>-1.5</v>
      </c>
      <c r="AC13" s="301">
        <f t="shared" si="21"/>
        <v>-1.5</v>
      </c>
      <c r="AD13" s="301">
        <f t="shared" si="21"/>
        <v>-1.5</v>
      </c>
      <c r="AE13" s="301">
        <f t="shared" ref="AE13:AF13" si="22">AE37/2</f>
        <v>-1.5</v>
      </c>
      <c r="AF13" s="301">
        <f t="shared" si="22"/>
        <v>-1.5</v>
      </c>
    </row>
    <row r="14" spans="1:32" s="3" customFormat="1" x14ac:dyDescent="0.2">
      <c r="A14" s="3" t="s">
        <v>199</v>
      </c>
      <c r="B14" s="3" t="s">
        <v>238</v>
      </c>
      <c r="C14" s="55" t="str">
        <f>+C35</f>
        <v>n/a</v>
      </c>
      <c r="D14" s="55" t="str">
        <f>+D35</f>
        <v>n/a</v>
      </c>
      <c r="E14" s="55" t="str">
        <f>+E35</f>
        <v>n/a</v>
      </c>
      <c r="F14" s="55" t="str">
        <f>+F35</f>
        <v>n/a</v>
      </c>
      <c r="G14" s="55">
        <f>+G35/2</f>
        <v>35</v>
      </c>
      <c r="H14" s="55">
        <f t="shared" ref="H14:N14" si="23">+H35/2</f>
        <v>39.5</v>
      </c>
      <c r="I14" s="55">
        <f t="shared" si="23"/>
        <v>30.5</v>
      </c>
      <c r="J14" s="55">
        <f t="shared" si="23"/>
        <v>34</v>
      </c>
      <c r="K14" s="55">
        <f t="shared" si="23"/>
        <v>26.5</v>
      </c>
      <c r="L14" s="55">
        <f t="shared" si="23"/>
        <v>22</v>
      </c>
      <c r="M14" s="55">
        <f t="shared" si="23"/>
        <v>20.5</v>
      </c>
      <c r="N14" s="55">
        <f t="shared" si="23"/>
        <v>22</v>
      </c>
      <c r="O14" s="55">
        <f t="shared" ref="O14:U14" si="24">+O35/2</f>
        <v>27</v>
      </c>
      <c r="P14" s="55">
        <f t="shared" si="24"/>
        <v>21.5</v>
      </c>
      <c r="Q14" s="145">
        <f t="shared" si="24"/>
        <v>20</v>
      </c>
      <c r="R14" s="145">
        <f t="shared" si="24"/>
        <v>18</v>
      </c>
      <c r="S14" s="145">
        <f t="shared" si="24"/>
        <v>17</v>
      </c>
      <c r="T14" s="145">
        <f t="shared" si="24"/>
        <v>15.5</v>
      </c>
      <c r="U14" s="145">
        <f t="shared" si="24"/>
        <v>23.5</v>
      </c>
      <c r="V14" s="228">
        <f t="shared" ref="V14:AA14" si="25">+V35/2</f>
        <v>28.990893499999999</v>
      </c>
      <c r="W14" s="145">
        <f t="shared" si="25"/>
        <v>29.2927505</v>
      </c>
      <c r="X14" s="145">
        <f t="shared" si="25"/>
        <v>19.860441999999999</v>
      </c>
      <c r="Y14" s="145">
        <f>+Y35/2</f>
        <v>19.6341185</v>
      </c>
      <c r="Z14" s="145">
        <f t="shared" si="25"/>
        <v>18.951650000000001</v>
      </c>
      <c r="AA14" s="145">
        <f t="shared" si="25"/>
        <v>18.367251499999998</v>
      </c>
      <c r="AB14" s="381">
        <f>+AB35/2</f>
        <v>19</v>
      </c>
      <c r="AC14" s="101">
        <f>+AC35/2</f>
        <v>21.682182705882354</v>
      </c>
      <c r="AD14" s="101">
        <f>+AD35/2</f>
        <v>21.682182705882354</v>
      </c>
      <c r="AE14" s="101">
        <f>+AE35/2</f>
        <v>21.682182705882354</v>
      </c>
      <c r="AF14" s="278">
        <f>+AF35/2</f>
        <v>21.682182705882354</v>
      </c>
    </row>
    <row r="15" spans="1:32" s="3" customFormat="1" x14ac:dyDescent="0.2">
      <c r="A15" s="3" t="s">
        <v>248</v>
      </c>
      <c r="B15" s="3" t="s">
        <v>239</v>
      </c>
      <c r="C15" s="3">
        <f>'initial ufl'!C12</f>
        <v>0</v>
      </c>
      <c r="D15" s="3">
        <f>'initial ufl'!D12</f>
        <v>0</v>
      </c>
      <c r="E15" s="3">
        <f>'initial ufl'!E12</f>
        <v>0</v>
      </c>
      <c r="F15" s="3">
        <f>'initial ufl'!F12</f>
        <v>2264</v>
      </c>
      <c r="G15" s="3">
        <f>'initial ufl'!G12</f>
        <v>2090</v>
      </c>
      <c r="H15" s="3">
        <f>'initial ufl'!H12</f>
        <v>1916</v>
      </c>
      <c r="I15" s="3">
        <f>'initial ufl'!I12</f>
        <v>1742</v>
      </c>
      <c r="J15" s="3">
        <f>'initial ufl'!J12</f>
        <v>1568</v>
      </c>
      <c r="K15" s="3">
        <f>'initial ufl'!K12</f>
        <v>1394</v>
      </c>
      <c r="L15" s="3">
        <f>'initial ufl'!L12</f>
        <v>1220</v>
      </c>
      <c r="M15" s="3">
        <f>'initial ufl'!M12</f>
        <v>1046</v>
      </c>
      <c r="N15" s="3">
        <f>'initial ufl'!N12-1</f>
        <v>871</v>
      </c>
      <c r="O15" s="3">
        <f>'initial ufl'!O12</f>
        <v>698</v>
      </c>
      <c r="P15" s="3">
        <f>'initial ufl'!P12</f>
        <v>524</v>
      </c>
      <c r="Q15" s="122">
        <f>'initial ufl'!Q12</f>
        <v>350</v>
      </c>
      <c r="R15" s="122">
        <f>'initial ufl'!R12</f>
        <v>176</v>
      </c>
      <c r="S15" s="122">
        <f>'initial ufl'!S12</f>
        <v>0</v>
      </c>
      <c r="T15" s="122">
        <f>'initial ufl'!T12</f>
        <v>0</v>
      </c>
      <c r="U15" s="122">
        <f>'initial ufl'!U12</f>
        <v>0</v>
      </c>
      <c r="V15" s="227">
        <f>'initial ufl'!V12</f>
        <v>0</v>
      </c>
      <c r="W15" s="122">
        <f>'initial ufl'!W12</f>
        <v>0</v>
      </c>
      <c r="X15" s="122">
        <f>'initial ufl'!X12</f>
        <v>0</v>
      </c>
      <c r="Y15" s="122">
        <f>'initial ufl'!Y12</f>
        <v>0</v>
      </c>
      <c r="Z15" s="122">
        <f>'initial ufl'!Z12</f>
        <v>0</v>
      </c>
      <c r="AA15" s="122">
        <f>'initial ufl'!AA12</f>
        <v>0</v>
      </c>
      <c r="AB15" s="352">
        <f>'initial ufl'!AB12</f>
        <v>0</v>
      </c>
      <c r="AC15" s="79">
        <f>'initial ufl'!AC12</f>
        <v>0</v>
      </c>
      <c r="AD15" s="79">
        <f>'initial ufl'!AD12</f>
        <v>0</v>
      </c>
      <c r="AE15" s="79">
        <f>'initial ufl'!AE12</f>
        <v>0</v>
      </c>
      <c r="AF15" s="241">
        <f>'initial ufl'!AF12</f>
        <v>0</v>
      </c>
    </row>
    <row r="16" spans="1:32" s="3" customFormat="1" x14ac:dyDescent="0.2">
      <c r="A16" s="3" t="s">
        <v>249</v>
      </c>
      <c r="B16" s="3" t="s">
        <v>240</v>
      </c>
      <c r="C16" s="24" t="s">
        <v>12</v>
      </c>
      <c r="D16" s="24" t="s">
        <v>12</v>
      </c>
      <c r="E16" s="24" t="s">
        <v>12</v>
      </c>
      <c r="F16" s="24">
        <f>contributions!C52*-1</f>
        <v>118.5</v>
      </c>
      <c r="G16" s="24">
        <f>contributions!D52*-1</f>
        <v>179</v>
      </c>
      <c r="H16" s="24">
        <f>contributions!E52*-1</f>
        <v>136</v>
      </c>
      <c r="I16" s="24">
        <f>contributions!F52*-1</f>
        <v>-18.5</v>
      </c>
      <c r="J16" s="24">
        <f>contributions!G52*-1</f>
        <v>-271.5</v>
      </c>
      <c r="K16" s="24">
        <f>contributions!H52*-1</f>
        <v>-479.5</v>
      </c>
      <c r="L16" s="24">
        <f>contributions!I52*-1</f>
        <v>-459.5</v>
      </c>
      <c r="M16" s="24">
        <f>contributions!J52*-1</f>
        <v>-425</v>
      </c>
      <c r="N16" s="24">
        <f>contributions!K52*-1</f>
        <v>-385.51718499999993</v>
      </c>
      <c r="O16" s="24">
        <f>contributions!L52*-1</f>
        <v>-342.138598</v>
      </c>
      <c r="P16" s="24">
        <f>contributions!M52*-1</f>
        <v>-289.1101855</v>
      </c>
      <c r="Q16" s="132">
        <f>contributions!N52*-1</f>
        <v>-234.68200250000001</v>
      </c>
      <c r="R16" s="132">
        <f>contributions!O52*-1</f>
        <v>-173.78676899999999</v>
      </c>
      <c r="S16" s="132">
        <f>contributions!P52*-1</f>
        <v>-130.8452135</v>
      </c>
      <c r="T16" s="132">
        <f>contributions!Q52*-1</f>
        <v>38.547452000000021</v>
      </c>
      <c r="U16" s="132">
        <f>contributions!R52*-1</f>
        <v>112.54745200000002</v>
      </c>
      <c r="V16" s="229">
        <f>contributions!S52*-1</f>
        <v>177.26237300000003</v>
      </c>
      <c r="W16" s="132">
        <f>contributions!T52*-1</f>
        <v>190.22886857142856</v>
      </c>
      <c r="X16" s="132">
        <f>contributions!U52*-1</f>
        <v>201.82239007142852</v>
      </c>
      <c r="Y16" s="132">
        <f>contributions!V52*-1</f>
        <v>222.15202314285705</v>
      </c>
      <c r="Z16" s="132">
        <f>contributions!W52*-1</f>
        <v>238.274048642857</v>
      </c>
      <c r="AA16" s="132">
        <f>contributions!X52*-1</f>
        <v>255.87371314285701</v>
      </c>
      <c r="AB16" s="357">
        <f>contributions!Y52*-1</f>
        <v>254.25466949285703</v>
      </c>
      <c r="AC16" s="86">
        <f>contributions!Z52*-1</f>
        <v>247.6068075315182</v>
      </c>
      <c r="AD16" s="86">
        <f>contributions!AA52*-1</f>
        <v>241.74880494170486</v>
      </c>
      <c r="AE16" s="86">
        <f>contributions!AB52*-1</f>
        <v>234.62797737593644</v>
      </c>
      <c r="AF16" s="248">
        <f>contributions!AC52*-1</f>
        <v>227.2356006387343</v>
      </c>
    </row>
    <row r="17" spans="1:32" s="49" customFormat="1" ht="15.75" x14ac:dyDescent="0.25">
      <c r="A17" s="52" t="s">
        <v>205</v>
      </c>
      <c r="B17" s="9" t="s">
        <v>241</v>
      </c>
      <c r="C17" s="56">
        <f t="shared" ref="C17:Q17" si="26">SUM(C8:C16)</f>
        <v>2580</v>
      </c>
      <c r="D17" s="56">
        <f t="shared" si="26"/>
        <v>2585.0325000000003</v>
      </c>
      <c r="E17" s="56">
        <f t="shared" si="26"/>
        <v>2437.5287500000004</v>
      </c>
      <c r="F17" s="56">
        <f t="shared" si="26"/>
        <v>4833.5756249999986</v>
      </c>
      <c r="G17" s="56">
        <f t="shared" si="26"/>
        <v>4758.4693749999997</v>
      </c>
      <c r="H17" s="56">
        <f t="shared" si="26"/>
        <v>4568.6631250000028</v>
      </c>
      <c r="I17" s="56">
        <f t="shared" si="26"/>
        <v>4017.5006250000019</v>
      </c>
      <c r="J17" s="56">
        <f t="shared" si="26"/>
        <v>3129.744999999999</v>
      </c>
      <c r="K17" s="56">
        <f t="shared" si="26"/>
        <v>2146.8162500000017</v>
      </c>
      <c r="L17" s="56">
        <f t="shared" si="26"/>
        <v>1321.9574999999977</v>
      </c>
      <c r="M17" s="56">
        <f t="shared" si="26"/>
        <v>282.03500000000008</v>
      </c>
      <c r="N17" s="56">
        <f t="shared" si="26"/>
        <v>-336.35936999999967</v>
      </c>
      <c r="O17" s="56">
        <f t="shared" si="26"/>
        <v>-791.24219599999878</v>
      </c>
      <c r="P17" s="56">
        <f t="shared" si="26"/>
        <v>-1233.2653710000009</v>
      </c>
      <c r="Q17" s="56">
        <f t="shared" si="26"/>
        <v>-1691.0215050000024</v>
      </c>
      <c r="R17" s="146">
        <f t="shared" ref="R17:AA17" si="27">SUM(R8:R16)</f>
        <v>-2125.956037999998</v>
      </c>
      <c r="S17" s="146">
        <f t="shared" si="27"/>
        <v>-2561.812632882351</v>
      </c>
      <c r="T17" s="146">
        <f t="shared" si="27"/>
        <v>-3016.2163827647082</v>
      </c>
      <c r="U17" s="146">
        <f t="shared" si="27"/>
        <v>-4026.6435886470572</v>
      </c>
      <c r="V17" s="230">
        <f t="shared" si="27"/>
        <v>-5005.385684029412</v>
      </c>
      <c r="W17" s="146">
        <f t="shared" si="27"/>
        <v>-5798.6352936260528</v>
      </c>
      <c r="X17" s="146">
        <f t="shared" si="27"/>
        <v>-6622.8068895084089</v>
      </c>
      <c r="Y17" s="146">
        <f t="shared" si="27"/>
        <v>-7123.8321543081702</v>
      </c>
      <c r="Z17" s="146">
        <f t="shared" si="27"/>
        <v>-7710.5999091905251</v>
      </c>
      <c r="AA17" s="146">
        <f t="shared" si="27"/>
        <v>-8667.0824095728694</v>
      </c>
      <c r="AB17" s="382">
        <f>SUM(AB8:AB16)</f>
        <v>-10146.996452755217</v>
      </c>
      <c r="AC17" s="102">
        <f>SUM(AC8:AC16)</f>
        <v>-12269.41640867866</v>
      </c>
      <c r="AD17" s="102">
        <f>SUM(AD8:AD16)</f>
        <v>-14827.707650718925</v>
      </c>
      <c r="AE17" s="102">
        <f>SUM(AE8:AE16)</f>
        <v>-17738.603708798732</v>
      </c>
      <c r="AF17" s="279">
        <f>SUM(AF8:AF16)</f>
        <v>-20954.774667972204</v>
      </c>
    </row>
    <row r="18" spans="1:32" s="9" customFormat="1" x14ac:dyDescent="0.2">
      <c r="Q18" s="147"/>
      <c r="R18" s="147"/>
      <c r="S18" s="147"/>
      <c r="T18" s="147"/>
      <c r="U18" s="147"/>
      <c r="V18" s="147"/>
      <c r="W18" s="147"/>
      <c r="X18" s="147"/>
      <c r="Y18" s="147"/>
      <c r="Z18" s="147"/>
      <c r="AA18" s="147"/>
      <c r="AB18" s="351"/>
      <c r="AC18" s="103"/>
      <c r="AD18" s="103"/>
      <c r="AE18" s="103"/>
      <c r="AF18" s="267"/>
    </row>
    <row r="19" spans="1:32" s="9" customFormat="1" x14ac:dyDescent="0.2">
      <c r="N19" s="9" t="s">
        <v>307</v>
      </c>
      <c r="O19" s="70">
        <f t="shared" ref="O19:AB19" si="28">O17*1000000</f>
        <v>-791242195.99999881</v>
      </c>
      <c r="P19" s="70">
        <f t="shared" si="28"/>
        <v>-1233265371.000001</v>
      </c>
      <c r="Q19" s="70">
        <f t="shared" si="28"/>
        <v>-1691021505.0000024</v>
      </c>
      <c r="R19" s="70">
        <f t="shared" si="28"/>
        <v>-2125956037.9999981</v>
      </c>
      <c r="S19" s="70">
        <f t="shared" si="28"/>
        <v>-2561812632.8823509</v>
      </c>
      <c r="T19" s="70">
        <f t="shared" si="28"/>
        <v>-3016216382.764708</v>
      </c>
      <c r="U19" s="210">
        <f t="shared" si="28"/>
        <v>-4026643588.6470571</v>
      </c>
      <c r="V19" s="210">
        <f t="shared" si="28"/>
        <v>-5005385684.0294123</v>
      </c>
      <c r="W19" s="210">
        <f t="shared" si="28"/>
        <v>-5798635293.6260529</v>
      </c>
      <c r="X19" s="210">
        <f t="shared" si="28"/>
        <v>-6622806889.5084085</v>
      </c>
      <c r="Y19" s="210">
        <f t="shared" si="28"/>
        <v>-7123832154.3081703</v>
      </c>
      <c r="Z19" s="147">
        <f t="shared" si="28"/>
        <v>-7710599909.1905251</v>
      </c>
      <c r="AA19" s="147">
        <f t="shared" si="28"/>
        <v>-8667082409.5728703</v>
      </c>
      <c r="AB19" s="147">
        <f t="shared" si="28"/>
        <v>-10146996452.755217</v>
      </c>
      <c r="AC19" s="104"/>
      <c r="AD19" s="104"/>
      <c r="AE19" s="104"/>
      <c r="AF19" s="280"/>
    </row>
    <row r="20" spans="1:32" s="9" customFormat="1" x14ac:dyDescent="0.2">
      <c r="A20" s="12" t="s">
        <v>255</v>
      </c>
      <c r="Q20" s="147"/>
      <c r="R20" s="147"/>
      <c r="S20" s="147"/>
      <c r="T20" s="147"/>
      <c r="U20" s="147"/>
      <c r="V20" s="147"/>
      <c r="W20" s="147"/>
      <c r="X20" s="147"/>
      <c r="Y20" s="147"/>
      <c r="Z20" s="147"/>
      <c r="AA20" s="147"/>
      <c r="AB20" s="351"/>
      <c r="AC20" s="103"/>
      <c r="AD20" s="103"/>
      <c r="AE20" s="103"/>
      <c r="AF20" s="267"/>
    </row>
    <row r="21" spans="1:32" s="9" customFormat="1" x14ac:dyDescent="0.2">
      <c r="A21" s="9" t="s">
        <v>252</v>
      </c>
      <c r="B21" s="9" t="s">
        <v>66</v>
      </c>
      <c r="G21" s="9">
        <f>+F17</f>
        <v>4833.5756249999986</v>
      </c>
      <c r="H21" s="9">
        <f t="shared" ref="H21:N21" si="29">+G17</f>
        <v>4758.4693749999997</v>
      </c>
      <c r="I21" s="9">
        <f t="shared" si="29"/>
        <v>4568.6631250000028</v>
      </c>
      <c r="J21" s="9">
        <f t="shared" si="29"/>
        <v>4017.5006250000019</v>
      </c>
      <c r="K21" s="9">
        <f t="shared" si="29"/>
        <v>3129.744999999999</v>
      </c>
      <c r="L21" s="9">
        <f t="shared" si="29"/>
        <v>2146.8162500000017</v>
      </c>
      <c r="M21" s="9">
        <f t="shared" si="29"/>
        <v>1321.9574999999977</v>
      </c>
      <c r="N21" s="9">
        <f t="shared" si="29"/>
        <v>282.03500000000008</v>
      </c>
      <c r="O21" s="9">
        <f t="shared" ref="O21:AF21" si="30">N17</f>
        <v>-336.35936999999967</v>
      </c>
      <c r="P21" s="9">
        <f t="shared" si="30"/>
        <v>-791.24219599999878</v>
      </c>
      <c r="Q21" s="147">
        <f t="shared" si="30"/>
        <v>-1233.2653710000009</v>
      </c>
      <c r="R21" s="147">
        <f t="shared" si="30"/>
        <v>-1691.0215050000024</v>
      </c>
      <c r="S21" s="147">
        <f t="shared" si="30"/>
        <v>-2125.956037999998</v>
      </c>
      <c r="T21" s="147">
        <f t="shared" si="30"/>
        <v>-2561.812632882351</v>
      </c>
      <c r="U21" s="147">
        <f t="shared" si="30"/>
        <v>-3016.2163827647082</v>
      </c>
      <c r="V21" s="147">
        <f t="shared" si="30"/>
        <v>-4026.6435886470572</v>
      </c>
      <c r="W21" s="147">
        <f t="shared" si="30"/>
        <v>-5005.385684029412</v>
      </c>
      <c r="X21" s="147">
        <f t="shared" si="30"/>
        <v>-5798.6352936260528</v>
      </c>
      <c r="Y21" s="147">
        <f t="shared" si="30"/>
        <v>-6622.8068895084089</v>
      </c>
      <c r="Z21" s="147">
        <f t="shared" si="30"/>
        <v>-7123.8321543081702</v>
      </c>
      <c r="AA21" s="147">
        <f t="shared" si="30"/>
        <v>-7710.5999091905251</v>
      </c>
      <c r="AB21" s="351">
        <f t="shared" si="30"/>
        <v>-8667.0824095728694</v>
      </c>
      <c r="AC21" s="103">
        <f t="shared" si="30"/>
        <v>-10146.996452755217</v>
      </c>
      <c r="AD21" s="103">
        <f t="shared" si="30"/>
        <v>-12269.41640867866</v>
      </c>
      <c r="AE21" s="103">
        <f t="shared" si="30"/>
        <v>-14827.707650718925</v>
      </c>
      <c r="AF21" s="267">
        <f t="shared" si="30"/>
        <v>-17738.603708798732</v>
      </c>
    </row>
    <row r="22" spans="1:32" s="9" customFormat="1" x14ac:dyDescent="0.2">
      <c r="A22" s="9" t="s">
        <v>211</v>
      </c>
      <c r="B22" s="9" t="s">
        <v>227</v>
      </c>
      <c r="G22" s="9">
        <f>expense!G19</f>
        <v>490.89374999999995</v>
      </c>
      <c r="H22" s="9">
        <f>expense!H19</f>
        <v>496.19374999999991</v>
      </c>
      <c r="I22" s="9">
        <f>expense!I19</f>
        <v>374.83750000000009</v>
      </c>
      <c r="J22" s="9">
        <f>expense!J19</f>
        <v>244.24437499999999</v>
      </c>
      <c r="K22" s="9">
        <f>expense!K19</f>
        <v>126.07124999999996</v>
      </c>
      <c r="L22" s="9">
        <f>expense!L19</f>
        <v>-157.8587500000001</v>
      </c>
      <c r="M22" s="9">
        <f>expense!M19</f>
        <v>-404.9224999999999</v>
      </c>
      <c r="N22" s="9">
        <f>expense!N19</f>
        <v>29.139999999999873</v>
      </c>
      <c r="O22" s="9">
        <f>expense!O19</f>
        <v>221.36000000000013</v>
      </c>
      <c r="P22" s="9">
        <f>expense!P19</f>
        <v>241.41999999999962</v>
      </c>
      <c r="Q22" s="147">
        <f>expense!Q19</f>
        <v>250.38749999999982</v>
      </c>
      <c r="R22" s="147">
        <f>expense!R19</f>
        <v>305.27499999999964</v>
      </c>
      <c r="S22" s="147">
        <f>expense!S19</f>
        <v>359.26029411764716</v>
      </c>
      <c r="T22" s="147">
        <f>expense!T19</f>
        <v>353.81091911764702</v>
      </c>
      <c r="U22" s="147">
        <f>expense!U19</f>
        <v>59.572794117647149</v>
      </c>
      <c r="V22" s="147">
        <f>expense!V19</f>
        <v>265.82806261764733</v>
      </c>
      <c r="W22" s="147">
        <f>expense!W19</f>
        <v>523.01225640336088</v>
      </c>
      <c r="X22" s="147">
        <f>expense!X19</f>
        <v>519.14136111764719</v>
      </c>
      <c r="Y22" s="147">
        <f>expense!Y19</f>
        <v>892.03170120023663</v>
      </c>
      <c r="Z22" s="147">
        <f>expense!Z19</f>
        <v>874.98819411764703</v>
      </c>
      <c r="AA22" s="147">
        <f>expense!AA19</f>
        <v>568.81817061764684</v>
      </c>
      <c r="AB22" s="351">
        <f>expense!AB19</f>
        <v>118.32404411764651</v>
      </c>
      <c r="AC22" s="103">
        <f>expense!AC19</f>
        <v>-458.24363090785755</v>
      </c>
      <c r="AD22" s="103">
        <f>expense!AD19</f>
        <v>-825.65879900649043</v>
      </c>
      <c r="AE22" s="103">
        <f>expense!AE19</f>
        <v>-1116.7412651971297</v>
      </c>
      <c r="AF22" s="267">
        <f>expense!AF19</f>
        <v>-1358.3618446496812</v>
      </c>
    </row>
    <row r="23" spans="1:32" s="9" customFormat="1" x14ac:dyDescent="0.2">
      <c r="A23" s="9" t="s">
        <v>251</v>
      </c>
      <c r="B23" s="9" t="s">
        <v>254</v>
      </c>
      <c r="G23" s="57">
        <f>'Data Input'!H46*-1</f>
        <v>-566</v>
      </c>
      <c r="H23" s="57">
        <f>'Data Input'!I46*-1</f>
        <v>-686</v>
      </c>
      <c r="I23" s="57">
        <f>'Data Input'!J46*-1</f>
        <v>-926</v>
      </c>
      <c r="J23" s="57">
        <f>'Data Input'!K46*-1</f>
        <v>-1132</v>
      </c>
      <c r="K23" s="57">
        <f>'Data Input'!L46*-1</f>
        <v>-1109</v>
      </c>
      <c r="L23" s="57">
        <f>'Data Input'!M46*-1</f>
        <v>-667</v>
      </c>
      <c r="M23" s="57">
        <f>'Data Input'!N46*-1</f>
        <v>-635</v>
      </c>
      <c r="N23" s="57">
        <f>'Data Input'!O46*-1</f>
        <v>-645.03436999999997</v>
      </c>
      <c r="O23" s="57">
        <f>'Data Input'!P46*-1</f>
        <v>-676.24282600000004</v>
      </c>
      <c r="P23" s="57">
        <f>'Data Input'!Q46*-1</f>
        <v>-682.943175</v>
      </c>
      <c r="Q23" s="148">
        <f>'Data Input'!R46*-1</f>
        <v>-708.14363400000002</v>
      </c>
      <c r="R23" s="148">
        <f>'Data Input'!S46*-1</f>
        <v>-740.20953299999996</v>
      </c>
      <c r="S23" s="148">
        <f>'Data Input'!T46*-1</f>
        <v>-795.11688900000001</v>
      </c>
      <c r="T23" s="148">
        <f>'Data Input'!U46*-1</f>
        <v>-808.21466899999996</v>
      </c>
      <c r="U23" s="148">
        <f>'Data Input'!V46*-1</f>
        <v>-1070</v>
      </c>
      <c r="V23" s="148">
        <f>'Data Input'!W46*-1</f>
        <v>-1244.570158</v>
      </c>
      <c r="W23" s="148">
        <f>'Data Input'!X46*-1</f>
        <v>-1316.2618660000001</v>
      </c>
      <c r="X23" s="148">
        <f>'Data Input'!Y46*-1</f>
        <v>-1343.8129570000001</v>
      </c>
      <c r="Y23" s="148">
        <f>'Data Input'!Z46*-1</f>
        <v>-1393.0569660000001</v>
      </c>
      <c r="Z23" s="148">
        <f>'Data Input'!AA46*-1</f>
        <v>-1460.7559490000001</v>
      </c>
      <c r="AA23" s="148">
        <f>'Data Input'!AB46*-1</f>
        <v>-1525.800671</v>
      </c>
      <c r="AB23" s="383">
        <f>'Data Input'!AC46*-1</f>
        <v>-1598.2380873</v>
      </c>
      <c r="AC23" s="105">
        <f>'Data Input'!AD46*-1</f>
        <v>-1664.1763250155739</v>
      </c>
      <c r="AD23" s="105">
        <f>'Data Input'!AE46*-1</f>
        <v>-1732.632443033782</v>
      </c>
      <c r="AE23" s="105">
        <f>'Data Input'!AF46*-1</f>
        <v>-1794.1547928826822</v>
      </c>
      <c r="AF23" s="281">
        <f>'Data Input'!AG46*-1</f>
        <v>-1857.8091145237856</v>
      </c>
    </row>
    <row r="24" spans="1:32" s="8" customFormat="1" x14ac:dyDescent="0.2">
      <c r="A24" s="8" t="s">
        <v>253</v>
      </c>
      <c r="B24" s="8" t="s">
        <v>31</v>
      </c>
      <c r="G24" s="21">
        <f>SUM(G21:G23)</f>
        <v>4758.4693749999988</v>
      </c>
      <c r="H24" s="21">
        <f t="shared" ref="H24:Q24" si="31">SUM(H21:H23)</f>
        <v>4568.6631249999991</v>
      </c>
      <c r="I24" s="21">
        <f t="shared" si="31"/>
        <v>4017.5006250000024</v>
      </c>
      <c r="J24" s="21">
        <f t="shared" si="31"/>
        <v>3129.7450000000017</v>
      </c>
      <c r="K24" s="21">
        <f t="shared" si="31"/>
        <v>2146.8162499999989</v>
      </c>
      <c r="L24" s="21">
        <f t="shared" si="31"/>
        <v>1321.9575000000016</v>
      </c>
      <c r="M24" s="21">
        <f t="shared" si="31"/>
        <v>282.03499999999781</v>
      </c>
      <c r="N24" s="21">
        <f t="shared" si="31"/>
        <v>-333.85937000000001</v>
      </c>
      <c r="O24" s="21">
        <f t="shared" si="31"/>
        <v>-791.24219599999958</v>
      </c>
      <c r="P24" s="21">
        <f t="shared" si="31"/>
        <v>-1232.765370999999</v>
      </c>
      <c r="Q24" s="141">
        <f t="shared" si="31"/>
        <v>-1691.0215050000011</v>
      </c>
      <c r="R24" s="141">
        <f t="shared" ref="R24:AD24" si="32">SUM(R21:R23)</f>
        <v>-2125.956038000003</v>
      </c>
      <c r="S24" s="141">
        <f t="shared" si="32"/>
        <v>-2561.812632882351</v>
      </c>
      <c r="T24" s="141">
        <f t="shared" si="32"/>
        <v>-3016.2163827647037</v>
      </c>
      <c r="U24" s="141">
        <f t="shared" si="32"/>
        <v>-4026.6435886470613</v>
      </c>
      <c r="V24" s="141">
        <f t="shared" si="32"/>
        <v>-5005.3856840294102</v>
      </c>
      <c r="W24" s="141">
        <f t="shared" si="32"/>
        <v>-5798.635293626051</v>
      </c>
      <c r="X24" s="141">
        <f t="shared" si="32"/>
        <v>-6623.3068895084052</v>
      </c>
      <c r="Y24" s="141">
        <f t="shared" si="32"/>
        <v>-7123.832154308172</v>
      </c>
      <c r="Z24" s="141">
        <f t="shared" si="32"/>
        <v>-7709.5999091905232</v>
      </c>
      <c r="AA24" s="141">
        <f t="shared" si="32"/>
        <v>-8667.5824095728785</v>
      </c>
      <c r="AB24" s="368">
        <f t="shared" si="32"/>
        <v>-10146.996452755224</v>
      </c>
      <c r="AC24" s="95">
        <f t="shared" si="32"/>
        <v>-12269.416408678648</v>
      </c>
      <c r="AD24" s="95">
        <f t="shared" si="32"/>
        <v>-14827.707650718934</v>
      </c>
      <c r="AE24" s="95">
        <f t="shared" ref="AE24:AF24" si="33">SUM(AE21:AE23)</f>
        <v>-17738.603708798735</v>
      </c>
      <c r="AF24" s="262">
        <f t="shared" si="33"/>
        <v>-20954.774667972197</v>
      </c>
    </row>
    <row r="25" spans="1:32" s="9" customFormat="1" x14ac:dyDescent="0.2">
      <c r="A25" s="9" t="s">
        <v>217</v>
      </c>
      <c r="G25" s="9">
        <f>G24-G17</f>
        <v>0</v>
      </c>
      <c r="H25" s="9">
        <f t="shared" ref="H25:Q25" si="34">H24-H17</f>
        <v>0</v>
      </c>
      <c r="I25" s="9">
        <f t="shared" si="34"/>
        <v>0</v>
      </c>
      <c r="J25" s="9">
        <f t="shared" si="34"/>
        <v>0</v>
      </c>
      <c r="K25" s="9">
        <f t="shared" si="34"/>
        <v>0</v>
      </c>
      <c r="L25" s="9">
        <f t="shared" si="34"/>
        <v>3.865352482534945E-12</v>
      </c>
      <c r="M25" s="9">
        <f t="shared" si="34"/>
        <v>-2.2737367544323206E-12</v>
      </c>
      <c r="N25" s="9">
        <f>ROUNDDOWN(N24-N17,0)</f>
        <v>2</v>
      </c>
      <c r="O25" s="9">
        <f t="shared" si="34"/>
        <v>0</v>
      </c>
      <c r="P25" s="9">
        <f t="shared" si="34"/>
        <v>0.50000000000181899</v>
      </c>
      <c r="Q25" s="147">
        <f t="shared" si="34"/>
        <v>0</v>
      </c>
      <c r="R25" s="147">
        <f t="shared" ref="R25:AD25" si="35">R24-R17</f>
        <v>-5.0022208597511053E-12</v>
      </c>
      <c r="S25" s="147">
        <f t="shared" si="35"/>
        <v>0</v>
      </c>
      <c r="T25" s="147">
        <f t="shared" si="35"/>
        <v>4.5474735088646412E-12</v>
      </c>
      <c r="U25" s="147">
        <f t="shared" si="35"/>
        <v>-4.0927261579781771E-12</v>
      </c>
      <c r="V25" s="147">
        <f t="shared" si="35"/>
        <v>0</v>
      </c>
      <c r="W25" s="147">
        <f t="shared" si="35"/>
        <v>0</v>
      </c>
      <c r="X25" s="147">
        <f>X24-X17</f>
        <v>-0.49999999999636202</v>
      </c>
      <c r="Y25" s="147">
        <f t="shared" si="35"/>
        <v>0</v>
      </c>
      <c r="Z25" s="147">
        <f t="shared" si="35"/>
        <v>1.000000000001819</v>
      </c>
      <c r="AA25" s="147">
        <f t="shared" si="35"/>
        <v>-0.50000000000909495</v>
      </c>
      <c r="AB25" s="351">
        <f t="shared" si="35"/>
        <v>0</v>
      </c>
      <c r="AC25" s="103">
        <f t="shared" si="35"/>
        <v>0</v>
      </c>
      <c r="AD25" s="103">
        <f t="shared" si="35"/>
        <v>0</v>
      </c>
      <c r="AE25" s="103">
        <f t="shared" ref="AE25:AF25" si="36">AE24-AE17</f>
        <v>0</v>
      </c>
      <c r="AF25" s="267">
        <f t="shared" si="36"/>
        <v>0</v>
      </c>
    </row>
    <row r="26" spans="1:32" s="9" customFormat="1" x14ac:dyDescent="0.2">
      <c r="Q26" s="147"/>
      <c r="R26" s="147"/>
      <c r="S26" s="147"/>
      <c r="T26" s="147"/>
      <c r="U26" s="147"/>
      <c r="V26" s="147"/>
      <c r="W26" s="147"/>
      <c r="X26" s="147"/>
      <c r="Y26" s="147"/>
      <c r="Z26" s="147"/>
      <c r="AA26" s="147"/>
      <c r="AB26" s="351"/>
      <c r="AC26" s="103"/>
      <c r="AD26" s="103"/>
      <c r="AE26" s="103"/>
      <c r="AF26" s="267"/>
    </row>
    <row r="27" spans="1:32" s="9" customFormat="1" x14ac:dyDescent="0.2">
      <c r="Q27" s="147"/>
      <c r="R27" s="147"/>
      <c r="S27" s="147"/>
      <c r="T27" s="147"/>
      <c r="U27" s="147"/>
      <c r="V27" s="147"/>
      <c r="W27" s="147"/>
      <c r="X27" s="147"/>
      <c r="Y27" s="147"/>
      <c r="Z27" s="147"/>
      <c r="AA27" s="147"/>
      <c r="AB27" s="351"/>
      <c r="AC27" s="103"/>
      <c r="AD27" s="103"/>
      <c r="AE27" s="103"/>
      <c r="AF27" s="267"/>
    </row>
    <row r="28" spans="1:32" s="3" customFormat="1" x14ac:dyDescent="0.2">
      <c r="A28" s="44" t="s">
        <v>194</v>
      </c>
      <c r="Q28" s="122"/>
      <c r="R28" s="122"/>
      <c r="S28" s="122"/>
      <c r="T28" s="122"/>
      <c r="U28" s="122"/>
      <c r="V28" s="122"/>
      <c r="W28" s="122"/>
      <c r="X28" s="122"/>
      <c r="Y28" s="122"/>
      <c r="Z28" s="122"/>
      <c r="AA28" s="122"/>
      <c r="AB28" s="352"/>
      <c r="AC28" s="79"/>
      <c r="AD28" s="79"/>
      <c r="AE28" s="79"/>
      <c r="AF28" s="241"/>
    </row>
    <row r="29" spans="1:32" s="3" customFormat="1" x14ac:dyDescent="0.2">
      <c r="Q29" s="122"/>
      <c r="R29" s="122"/>
      <c r="S29" s="122"/>
      <c r="T29" s="122"/>
      <c r="U29" s="122"/>
      <c r="V29" s="122"/>
      <c r="W29" s="122"/>
      <c r="X29" s="122"/>
      <c r="Y29" s="122"/>
      <c r="Z29" s="122"/>
      <c r="AA29" s="122"/>
      <c r="AB29" s="352"/>
      <c r="AC29" s="79"/>
      <c r="AD29" s="79"/>
      <c r="AE29" s="79"/>
      <c r="AF29" s="241"/>
    </row>
    <row r="30" spans="1:32" s="3" customFormat="1" x14ac:dyDescent="0.2">
      <c r="A30" s="3" t="s">
        <v>197</v>
      </c>
      <c r="B30" s="3" t="s">
        <v>201</v>
      </c>
      <c r="C30" s="3">
        <f>'Data Input'!D12</f>
        <v>24391</v>
      </c>
      <c r="D30" s="3">
        <f>'Data Input'!E12</f>
        <v>27479</v>
      </c>
      <c r="E30" s="3">
        <f>'Data Input'!F12</f>
        <v>30781</v>
      </c>
      <c r="F30" s="3">
        <f>'Data Input'!G12</f>
        <v>33998</v>
      </c>
      <c r="G30" s="3">
        <f>'Data Input'!H12</f>
        <v>36848</v>
      </c>
      <c r="H30" s="3">
        <f>'Data Input'!I12</f>
        <v>39007</v>
      </c>
      <c r="I30" s="3">
        <f>'Data Input'!J12</f>
        <v>41833</v>
      </c>
      <c r="J30" s="3">
        <f>'Data Input'!K12</f>
        <v>46470</v>
      </c>
      <c r="K30" s="3">
        <f>'Data Input'!L12</f>
        <v>48635</v>
      </c>
      <c r="L30" s="3">
        <f>'Data Input'!M12</f>
        <v>50346</v>
      </c>
      <c r="M30" s="3">
        <f>'Data Input'!N12</f>
        <v>55087</v>
      </c>
      <c r="N30" s="3">
        <f>'Data Input'!O12</f>
        <v>64369</v>
      </c>
      <c r="O30" s="3">
        <f>'Data Input'!P12</f>
        <v>67319</v>
      </c>
      <c r="P30" s="3">
        <f>'Data Input'!Q12</f>
        <v>71009</v>
      </c>
      <c r="Q30" s="122">
        <f>'Data Input'!R12</f>
        <v>74089</v>
      </c>
      <c r="R30" s="122">
        <f>'Data Input'!S12</f>
        <v>80371</v>
      </c>
      <c r="S30" s="122">
        <f>'Data Input'!T12</f>
        <v>83120</v>
      </c>
      <c r="T30" s="122">
        <f>'Data Input'!U12</f>
        <v>88356</v>
      </c>
      <c r="U30" s="122">
        <f>'Data Input'!V12</f>
        <v>92022</v>
      </c>
      <c r="V30" s="122">
        <f>'Data Input'!W12</f>
        <v>96608</v>
      </c>
      <c r="W30" s="122">
        <f>'Data Input'!X12</f>
        <v>99117</v>
      </c>
      <c r="X30" s="122">
        <f>'Data Input'!Y12</f>
        <v>103693</v>
      </c>
      <c r="Y30" s="122">
        <f>'Data Input'!Z12</f>
        <v>105954</v>
      </c>
      <c r="Z30" s="122">
        <f>'Data Input'!AA12</f>
        <v>109524</v>
      </c>
      <c r="AA30" s="122">
        <f>'Data Input'!AB12</f>
        <v>113801</v>
      </c>
      <c r="AB30" s="352">
        <f>'Data Input'!AC12</f>
        <v>116367</v>
      </c>
      <c r="AC30" s="79">
        <f>'Data Input'!AD12</f>
        <v>120891.15773981952</v>
      </c>
      <c r="AD30" s="79">
        <f>'Data Input'!AE12</f>
        <v>125674.54587496544</v>
      </c>
      <c r="AE30" s="79">
        <f>'Data Input'!AF12</f>
        <v>130724.77615093655</v>
      </c>
      <c r="AF30" s="241">
        <f>'Data Input'!AG12</f>
        <v>136066.48289917331</v>
      </c>
    </row>
    <row r="31" spans="1:32" s="3" customFormat="1" x14ac:dyDescent="0.2">
      <c r="A31" s="3" t="s">
        <v>206</v>
      </c>
      <c r="I31" s="3">
        <v>500</v>
      </c>
      <c r="Q31" s="122"/>
      <c r="R31" s="122"/>
      <c r="S31" s="122"/>
      <c r="T31" s="122"/>
      <c r="U31" s="122"/>
      <c r="V31" s="122"/>
      <c r="W31" s="122"/>
      <c r="X31" s="122"/>
      <c r="Y31" s="122"/>
      <c r="Z31" s="122"/>
      <c r="AA31" s="122"/>
      <c r="AB31" s="352"/>
      <c r="AC31" s="79"/>
      <c r="AD31" s="79"/>
      <c r="AE31" s="79"/>
      <c r="AF31" s="241"/>
    </row>
    <row r="32" spans="1:32" s="3" customFormat="1" x14ac:dyDescent="0.2">
      <c r="A32" s="3" t="s">
        <v>198</v>
      </c>
      <c r="B32" s="3" t="s">
        <v>201</v>
      </c>
      <c r="C32" s="6">
        <f>'Data Input'!D28*-1</f>
        <v>-20124</v>
      </c>
      <c r="D32" s="6">
        <f>'Data Input'!E28*-1</f>
        <v>-24697</v>
      </c>
      <c r="E32" s="6">
        <f>'Data Input'!F28*-1</f>
        <v>-27773</v>
      </c>
      <c r="F32" s="6">
        <f>'Data Input'!G28*-1</f>
        <v>-33711</v>
      </c>
      <c r="G32" s="6">
        <f>'Data Input'!H28*-1</f>
        <v>-34242</v>
      </c>
      <c r="H32" s="6">
        <f>'Data Input'!I28*-1</f>
        <v>-38092</v>
      </c>
      <c r="I32" s="6">
        <f>'Data Input'!J28*-1</f>
        <v>-43013</v>
      </c>
      <c r="J32" s="6">
        <f>'Data Input'!K28*-1</f>
        <v>-48901</v>
      </c>
      <c r="K32" s="6">
        <f>'Data Input'!L28*-1</f>
        <v>-54382</v>
      </c>
      <c r="L32" s="6">
        <f>'Data Input'!M28*-1</f>
        <v>-61039</v>
      </c>
      <c r="M32" s="6">
        <f>'Data Input'!N28*-1</f>
        <v>-68780</v>
      </c>
      <c r="N32" s="6">
        <f>'Data Input'!O28*-1</f>
        <v>-72429</v>
      </c>
      <c r="O32" s="6">
        <f>'Data Input'!P28*-1</f>
        <v>-75857</v>
      </c>
      <c r="P32" s="6">
        <f>'Data Input'!Q28*-1</f>
        <v>-79157</v>
      </c>
      <c r="Q32" s="126">
        <f>'Data Input'!R28*-1</f>
        <v>-82791</v>
      </c>
      <c r="R32" s="126">
        <f>'Data Input'!S28*-1</f>
        <v>-88694</v>
      </c>
      <c r="S32" s="126">
        <f>'Data Input'!T28*-1</f>
        <v>-94850</v>
      </c>
      <c r="T32" s="126">
        <f>'Data Input'!U28*-1</f>
        <v>-104917</v>
      </c>
      <c r="U32" s="126">
        <f>'Data Input'!V28*-1</f>
        <v>-106957</v>
      </c>
      <c r="V32" s="126">
        <f>'Data Input'!W28*-1</f>
        <v>-109112</v>
      </c>
      <c r="W32" s="126">
        <f>'Data Input'!X28*-1</f>
        <v>-114246</v>
      </c>
      <c r="X32" s="126">
        <f>'Data Input'!Y28*-1</f>
        <v>-115685</v>
      </c>
      <c r="Y32" s="126">
        <f>'Data Input'!Z28*-1</f>
        <v>-119864</v>
      </c>
      <c r="Z32" s="126">
        <f>'Data Input'!AA28*-1</f>
        <v>-130867</v>
      </c>
      <c r="AA32" s="126">
        <f>'Data Input'!AB28*-1</f>
        <v>-143076</v>
      </c>
      <c r="AB32" s="353">
        <f>'Data Input'!AC28*-1</f>
        <v>-156978</v>
      </c>
      <c r="AC32" s="81">
        <f>'Data Input'!AD28*-1</f>
        <v>-170805.87488462828</v>
      </c>
      <c r="AD32" s="81">
        <f>'Data Input'!AE28*-1</f>
        <v>-183733.14824921408</v>
      </c>
      <c r="AE32" s="81">
        <f>'Data Input'!AF28*-1</f>
        <v>-196139.25039928145</v>
      </c>
      <c r="AF32" s="242">
        <f>'Data Input'!AG28*-1</f>
        <v>-207697.4054389525</v>
      </c>
    </row>
    <row r="33" spans="1:32" s="8" customFormat="1" x14ac:dyDescent="0.2">
      <c r="A33" s="8" t="s">
        <v>202</v>
      </c>
      <c r="B33" s="8" t="s">
        <v>31</v>
      </c>
      <c r="C33" s="8">
        <f>SUM(C30:C32)</f>
        <v>4267</v>
      </c>
      <c r="D33" s="8">
        <f>SUM(D30:D32)</f>
        <v>2782</v>
      </c>
      <c r="E33" s="8">
        <f t="shared" ref="E33:Q33" si="37">SUM(E30:E32)</f>
        <v>3008</v>
      </c>
      <c r="F33" s="8">
        <f t="shared" si="37"/>
        <v>287</v>
      </c>
      <c r="G33" s="8">
        <f t="shared" si="37"/>
        <v>2606</v>
      </c>
      <c r="H33" s="8">
        <f t="shared" si="37"/>
        <v>915</v>
      </c>
      <c r="I33" s="8">
        <f t="shared" si="37"/>
        <v>-680</v>
      </c>
      <c r="J33" s="8">
        <f t="shared" si="37"/>
        <v>-2431</v>
      </c>
      <c r="K33" s="8">
        <f t="shared" si="37"/>
        <v>-5747</v>
      </c>
      <c r="L33" s="8">
        <f t="shared" si="37"/>
        <v>-10693</v>
      </c>
      <c r="M33" s="8">
        <f t="shared" si="37"/>
        <v>-13693</v>
      </c>
      <c r="N33" s="8">
        <f t="shared" si="37"/>
        <v>-8060</v>
      </c>
      <c r="O33" s="8">
        <f t="shared" si="37"/>
        <v>-8538</v>
      </c>
      <c r="P33" s="8">
        <f t="shared" si="37"/>
        <v>-8148</v>
      </c>
      <c r="Q33" s="120">
        <f t="shared" si="37"/>
        <v>-8702</v>
      </c>
      <c r="R33" s="120">
        <f t="shared" ref="R33:AD33" si="38">SUM(R30:R32)</f>
        <v>-8323</v>
      </c>
      <c r="S33" s="120">
        <f t="shared" si="38"/>
        <v>-11730</v>
      </c>
      <c r="T33" s="120">
        <f t="shared" si="38"/>
        <v>-16561</v>
      </c>
      <c r="U33" s="120">
        <f t="shared" si="38"/>
        <v>-14935</v>
      </c>
      <c r="V33" s="120">
        <f t="shared" si="38"/>
        <v>-12504</v>
      </c>
      <c r="W33" s="120">
        <f t="shared" si="38"/>
        <v>-15129</v>
      </c>
      <c r="X33" s="120">
        <f t="shared" si="38"/>
        <v>-11992</v>
      </c>
      <c r="Y33" s="120">
        <f t="shared" si="38"/>
        <v>-13910</v>
      </c>
      <c r="Z33" s="120">
        <f t="shared" si="38"/>
        <v>-21343</v>
      </c>
      <c r="AA33" s="120">
        <f t="shared" si="38"/>
        <v>-29275</v>
      </c>
      <c r="AB33" s="350">
        <f t="shared" si="38"/>
        <v>-40611</v>
      </c>
      <c r="AC33" s="78">
        <f t="shared" si="38"/>
        <v>-49914.717144808761</v>
      </c>
      <c r="AD33" s="78">
        <f t="shared" si="38"/>
        <v>-58058.602374248643</v>
      </c>
      <c r="AE33" s="78">
        <f t="shared" ref="AE33:AF33" si="39">SUM(AE30:AE32)</f>
        <v>-65414.474248344894</v>
      </c>
      <c r="AF33" s="243">
        <f t="shared" si="39"/>
        <v>-71630.922539779189</v>
      </c>
    </row>
    <row r="34" spans="1:32" s="3" customFormat="1" x14ac:dyDescent="0.2">
      <c r="A34" s="3" t="s">
        <v>196</v>
      </c>
      <c r="B34" s="3" t="s">
        <v>108</v>
      </c>
      <c r="C34" s="3">
        <f>'experience g(l)'!B95</f>
        <v>0</v>
      </c>
      <c r="D34" s="3">
        <f>'experience g(l)'!C95</f>
        <v>1443.4300000000003</v>
      </c>
      <c r="E34" s="3">
        <f>'experience g(l)'!D95</f>
        <v>686.42250000000058</v>
      </c>
      <c r="F34" s="3">
        <f>'experience g(l)'!E95</f>
        <v>3172.5162499999969</v>
      </c>
      <c r="G34" s="3">
        <f>'experience g(l)'!F95</f>
        <v>1493.3037499999955</v>
      </c>
      <c r="H34" s="3">
        <f>'experience g(l)'!G95</f>
        <v>3236.6912499999999</v>
      </c>
      <c r="I34" s="3">
        <f>'experience g(l)'!H95</f>
        <v>4504.3662500000028</v>
      </c>
      <c r="J34" s="3">
        <f>'experience g(l)'!I95</f>
        <v>5352.8549999999996</v>
      </c>
      <c r="K34" s="3">
        <f>'experience g(l)'!J95</f>
        <v>7454.9975000000013</v>
      </c>
      <c r="L34" s="3">
        <f>'experience g(l)'!K95</f>
        <v>10951.279999999995</v>
      </c>
      <c r="M34" s="3">
        <f>'experience g(l)'!L95</f>
        <v>12131.434999999994</v>
      </c>
      <c r="N34" s="3">
        <f>'experience g(l)'!M95</f>
        <v>5502.7149999999929</v>
      </c>
      <c r="O34" s="3">
        <f>'experience g(l)'!N95</f>
        <v>5291.434999999994</v>
      </c>
      <c r="P34" s="3">
        <f>'experience g(l)'!O95</f>
        <v>4224.2749999999905</v>
      </c>
      <c r="Q34" s="122">
        <f>'experience g(l)'!P95</f>
        <v>4055.0499999999847</v>
      </c>
      <c r="R34" s="122">
        <f>'experience g(l)'!Q95</f>
        <v>2985.5999999999876</v>
      </c>
      <c r="S34" s="122">
        <f>'experience g(l)'!R95</f>
        <v>5775.1499999999905</v>
      </c>
      <c r="T34" s="122">
        <f>'experience g(l)'!S95</f>
        <v>9120.8012499999859</v>
      </c>
      <c r="U34" s="122">
        <f>'experience g(l)'!T95</f>
        <v>5234.9762499999888</v>
      </c>
      <c r="V34" s="122">
        <f>'experience g(l)'!U95</f>
        <v>553.67999999998938</v>
      </c>
      <c r="W34" s="122">
        <f>'experience g(l)'!V95</f>
        <v>1544.9353534285583</v>
      </c>
      <c r="X34" s="122">
        <f>'experience g(l)'!W95</f>
        <v>-3295.8878955714499</v>
      </c>
      <c r="Y34" s="122">
        <f>'experience g(l)'!X95</f>
        <v>-2473.0586665491319</v>
      </c>
      <c r="Z34" s="122">
        <f>'experience g(l)'!Y95</f>
        <v>3702.3120704508583</v>
      </c>
      <c r="AA34" s="122">
        <f>'experience g(l)'!Z95</f>
        <v>9631.1466204508724</v>
      </c>
      <c r="AB34" s="352">
        <f>'experience g(l)'!AA95</f>
        <v>17982.558623450896</v>
      </c>
      <c r="AC34" s="79">
        <f>'experience g(l)'!AB95</f>
        <v>23019.548907988137</v>
      </c>
      <c r="AD34" s="79">
        <f>'experience g(l)'!AC95</f>
        <v>26030.044516604292</v>
      </c>
      <c r="AE34" s="79">
        <f>'experience g(l)'!AD95</f>
        <v>27551.006768374515</v>
      </c>
      <c r="AF34" s="241">
        <f>'experience g(l)'!AE95</f>
        <v>27323.743050398989</v>
      </c>
    </row>
    <row r="35" spans="1:32" s="3" customFormat="1" x14ac:dyDescent="0.2">
      <c r="A35" s="3" t="s">
        <v>199</v>
      </c>
      <c r="B35" s="3" t="s">
        <v>201</v>
      </c>
      <c r="C35" s="24" t="str">
        <f>'Data Input'!D29</f>
        <v>n/a</v>
      </c>
      <c r="D35" s="24" t="str">
        <f>'Data Input'!E29</f>
        <v>n/a</v>
      </c>
      <c r="E35" s="24" t="str">
        <f>'Data Input'!F29</f>
        <v>n/a</v>
      </c>
      <c r="F35" s="24" t="str">
        <f>'Data Input'!G29</f>
        <v>n/a</v>
      </c>
      <c r="G35" s="24">
        <f>'Data Input'!H29</f>
        <v>70</v>
      </c>
      <c r="H35" s="24">
        <f>'Data Input'!I29</f>
        <v>79</v>
      </c>
      <c r="I35" s="24">
        <f>'Data Input'!J29</f>
        <v>61</v>
      </c>
      <c r="J35" s="24">
        <f>'Data Input'!K29</f>
        <v>68</v>
      </c>
      <c r="K35" s="24">
        <f>'Data Input'!L29</f>
        <v>53</v>
      </c>
      <c r="L35" s="24">
        <f>'Data Input'!M29</f>
        <v>44</v>
      </c>
      <c r="M35" s="24">
        <f>'Data Input'!N29</f>
        <v>41</v>
      </c>
      <c r="N35" s="24">
        <f>'Data Input'!O29</f>
        <v>44</v>
      </c>
      <c r="O35" s="24">
        <f>'Data Input'!P29</f>
        <v>54</v>
      </c>
      <c r="P35" s="24">
        <f>'Data Input'!Q29</f>
        <v>43</v>
      </c>
      <c r="Q35" s="132">
        <f>'Data Input'!R29</f>
        <v>40</v>
      </c>
      <c r="R35" s="132">
        <f>'Data Input'!S29</f>
        <v>36</v>
      </c>
      <c r="S35" s="132">
        <f>'Data Input'!T29</f>
        <v>34</v>
      </c>
      <c r="T35" s="132">
        <f>'Data Input'!U29</f>
        <v>31</v>
      </c>
      <c r="U35" s="132">
        <f>'Data Input'!V29</f>
        <v>47</v>
      </c>
      <c r="V35" s="132">
        <f>'Data Input'!W29</f>
        <v>57.981786999999997</v>
      </c>
      <c r="W35" s="132">
        <f>'Data Input'!X29</f>
        <v>58.585501000000001</v>
      </c>
      <c r="X35" s="132">
        <f>'Data Input'!Y29</f>
        <v>39.720883999999998</v>
      </c>
      <c r="Y35" s="132">
        <f>'Data Input'!Z29</f>
        <v>39.268236999999999</v>
      </c>
      <c r="Z35" s="132">
        <f>'Data Input'!AA29</f>
        <v>37.903300000000002</v>
      </c>
      <c r="AA35" s="132">
        <f>'Data Input'!AB29</f>
        <v>36.734502999999997</v>
      </c>
      <c r="AB35" s="357">
        <f>'Data Input'!AC29</f>
        <v>38</v>
      </c>
      <c r="AC35" s="86">
        <f>'Data Input'!AD29</f>
        <v>43.364365411764709</v>
      </c>
      <c r="AD35" s="86">
        <f>'Data Input'!AE29</f>
        <v>43.364365411764709</v>
      </c>
      <c r="AE35" s="86">
        <f>'Data Input'!AF29</f>
        <v>43.364365411764709</v>
      </c>
      <c r="AF35" s="248">
        <f>'Data Input'!AG29</f>
        <v>43.364365411764709</v>
      </c>
    </row>
    <row r="36" spans="1:32" s="8" customFormat="1" x14ac:dyDescent="0.2">
      <c r="A36" s="8" t="s">
        <v>200</v>
      </c>
      <c r="B36" s="8" t="s">
        <v>31</v>
      </c>
      <c r="C36" s="8">
        <f>SUM(C33:C35)</f>
        <v>4267</v>
      </c>
      <c r="D36" s="8">
        <f>SUM(D33:D35)</f>
        <v>4225.43</v>
      </c>
      <c r="E36" s="8">
        <f t="shared" ref="E36:Q36" si="40">SUM(E33:E35)</f>
        <v>3694.4225000000006</v>
      </c>
      <c r="F36" s="8">
        <f t="shared" si="40"/>
        <v>3459.5162499999969</v>
      </c>
      <c r="G36" s="8">
        <f t="shared" si="40"/>
        <v>4169.3037499999955</v>
      </c>
      <c r="H36" s="8">
        <f t="shared" si="40"/>
        <v>4230.6912499999999</v>
      </c>
      <c r="I36" s="8">
        <f t="shared" si="40"/>
        <v>3885.3662500000028</v>
      </c>
      <c r="J36" s="8">
        <f t="shared" si="40"/>
        <v>2989.8549999999996</v>
      </c>
      <c r="K36" s="8">
        <f t="shared" si="40"/>
        <v>1760.9975000000013</v>
      </c>
      <c r="L36" s="8">
        <f t="shared" si="40"/>
        <v>302.2799999999952</v>
      </c>
      <c r="M36" s="8">
        <f t="shared" si="40"/>
        <v>-1520.565000000006</v>
      </c>
      <c r="N36" s="8">
        <f t="shared" si="40"/>
        <v>-2513.2850000000071</v>
      </c>
      <c r="O36" s="8">
        <f t="shared" si="40"/>
        <v>-3192.565000000006</v>
      </c>
      <c r="P36" s="8">
        <f t="shared" si="40"/>
        <v>-3880.7250000000095</v>
      </c>
      <c r="Q36" s="120">
        <f t="shared" si="40"/>
        <v>-4606.9500000000153</v>
      </c>
      <c r="R36" s="120">
        <f t="shared" ref="R36:AD36" si="41">SUM(R33:R35)</f>
        <v>-5301.4000000000124</v>
      </c>
      <c r="S36" s="120">
        <f t="shared" si="41"/>
        <v>-5920.8500000000095</v>
      </c>
      <c r="T36" s="120">
        <f t="shared" si="41"/>
        <v>-7409.1987500000141</v>
      </c>
      <c r="U36" s="120">
        <f t="shared" si="41"/>
        <v>-9653.0237500000112</v>
      </c>
      <c r="V36" s="120">
        <f t="shared" si="41"/>
        <v>-11892.33821300001</v>
      </c>
      <c r="W36" s="120">
        <f t="shared" si="41"/>
        <v>-13525.479145571442</v>
      </c>
      <c r="X36" s="120">
        <f t="shared" si="41"/>
        <v>-15248.16701157145</v>
      </c>
      <c r="Y36" s="120">
        <f t="shared" si="41"/>
        <v>-16343.790429549132</v>
      </c>
      <c r="Z36" s="120">
        <f t="shared" si="41"/>
        <v>-17602.78462954914</v>
      </c>
      <c r="AA36" s="120">
        <f t="shared" si="41"/>
        <v>-19607.118876549128</v>
      </c>
      <c r="AB36" s="350">
        <f t="shared" si="41"/>
        <v>-22590.441376549104</v>
      </c>
      <c r="AC36" s="78">
        <f t="shared" si="41"/>
        <v>-26851.803871408858</v>
      </c>
      <c r="AD36" s="78">
        <f t="shared" si="41"/>
        <v>-31985.193492232585</v>
      </c>
      <c r="AE36" s="78">
        <f t="shared" ref="AE36:AF36" si="42">SUM(AE33:AE35)</f>
        <v>-37820.103114558617</v>
      </c>
      <c r="AF36" s="243">
        <f t="shared" si="42"/>
        <v>-44263.815123968438</v>
      </c>
    </row>
    <row r="37" spans="1:32" s="309" customFormat="1" x14ac:dyDescent="0.2">
      <c r="A37" s="306" t="s">
        <v>403</v>
      </c>
      <c r="B37" s="308" t="s">
        <v>404</v>
      </c>
      <c r="U37" s="308">
        <f>-'CPI Special Payments'!C13</f>
        <v>0</v>
      </c>
      <c r="V37" s="308">
        <f>-'CPI Special Payments'!D13</f>
        <v>0</v>
      </c>
      <c r="W37" s="308">
        <f>-'CPI Special Payments'!E13</f>
        <v>0</v>
      </c>
      <c r="X37" s="308">
        <f>-'CPI Special Payments'!F13</f>
        <v>0</v>
      </c>
      <c r="Y37" s="308">
        <f>-'CPI Special Payments'!G13</f>
        <v>0</v>
      </c>
      <c r="Z37" s="308">
        <f>-'CPI Special Payments'!H13</f>
        <v>-1</v>
      </c>
      <c r="AA37" s="147">
        <f>-'CPI Special Payments'!I13</f>
        <v>-2</v>
      </c>
      <c r="AB37" s="308">
        <f>-'CPI Special Payments'!J13</f>
        <v>-3</v>
      </c>
      <c r="AC37" s="308">
        <f>-'CPI Special Payments'!K13</f>
        <v>-3</v>
      </c>
      <c r="AD37" s="308">
        <f>-'CPI Special Payments'!L13</f>
        <v>-3</v>
      </c>
      <c r="AE37" s="308">
        <f>-'CPI Special Payments'!M13</f>
        <v>-3</v>
      </c>
      <c r="AF37" s="308">
        <f>-'CPI Special Payments'!N13</f>
        <v>-3</v>
      </c>
    </row>
    <row r="38" spans="1:32" s="3" customFormat="1" x14ac:dyDescent="0.2">
      <c r="A38" s="3" t="s">
        <v>203</v>
      </c>
      <c r="B38" s="3" t="s">
        <v>204</v>
      </c>
      <c r="C38" s="6">
        <f>'year end'!C22</f>
        <v>893</v>
      </c>
      <c r="D38" s="6">
        <f>'year end'!D22</f>
        <v>944.63500000000022</v>
      </c>
      <c r="E38" s="6">
        <f>'year end'!E22</f>
        <v>1180.6350000000002</v>
      </c>
      <c r="F38" s="6">
        <f>'year end'!F22</f>
        <v>1442.6350000000002</v>
      </c>
      <c r="G38" s="6">
        <f>'year end'!G22</f>
        <v>809.63500000000386</v>
      </c>
      <c r="H38" s="6">
        <f>'year end'!H22</f>
        <v>802.63500000000568</v>
      </c>
      <c r="I38" s="6">
        <f>'year end'!I22</f>
        <v>702.63500000000113</v>
      </c>
      <c r="J38" s="6">
        <f>'year end'!J22</f>
        <v>676.63499999999885</v>
      </c>
      <c r="K38" s="6">
        <f>'year end'!K22</f>
        <v>703.63500000000204</v>
      </c>
      <c r="L38" s="6">
        <f>'year end'!L22</f>
        <v>820.63500000000022</v>
      </c>
      <c r="M38" s="6">
        <f>'year end'!M22</f>
        <v>842.63500000000613</v>
      </c>
      <c r="N38" s="6">
        <f>'year end'!N22</f>
        <v>871.60063000000764</v>
      </c>
      <c r="O38" s="6">
        <f>'year end'!O22</f>
        <v>898.3578040000084</v>
      </c>
      <c r="P38" s="6">
        <f>'year end'!P22</f>
        <v>944.41462900000761</v>
      </c>
      <c r="Q38" s="126">
        <f>'year end'!Q22</f>
        <v>994.27099500001032</v>
      </c>
      <c r="R38" s="126">
        <f>'year end'!R22</f>
        <v>1045.061462000016</v>
      </c>
      <c r="S38" s="126">
        <f>'year end'!S22+'year end'!S30</f>
        <v>1058.9151612353066</v>
      </c>
      <c r="T38" s="126">
        <f>'year end'!T22+'year end'!T30</f>
        <v>1299.6710804705981</v>
      </c>
      <c r="U38" s="126">
        <f>'year end'!U22+'year end'!U30</f>
        <v>1374.6416687058968</v>
      </c>
      <c r="V38" s="126">
        <f>'year end'!V22+'year end'!V30</f>
        <v>1527.0420989411869</v>
      </c>
      <c r="W38" s="126">
        <f>'year end'!W22+'year end'!W30</f>
        <v>1547.75082117648</v>
      </c>
      <c r="X38" s="126">
        <f>'year end'!X22+'year end'!X30</f>
        <v>1598.9084524117759</v>
      </c>
      <c r="Y38" s="126">
        <f>'year end'!Y22+'year end'!Y30</f>
        <v>1651.8220746470772</v>
      </c>
      <c r="Z38" s="126">
        <f>'year end'!Z22+'year end'!Z30</f>
        <v>1706.0367138823765</v>
      </c>
      <c r="AA38" s="126">
        <f>'year end'!AA22+'year end'!AA30</f>
        <v>1763.2066311176752</v>
      </c>
      <c r="AB38" s="353">
        <f>'year end'!AB22+'year end'!AB30</f>
        <v>1790.9391320529583</v>
      </c>
      <c r="AC38" s="81">
        <f>'year end'!AC22+'year end'!AC30</f>
        <v>1820.7574389885024</v>
      </c>
      <c r="AD38" s="81">
        <f>'year end'!AD22+'year end'!AD30</f>
        <v>1849.2805809113286</v>
      </c>
      <c r="AE38" s="81">
        <f>'year end'!AE22+'year end'!AE30</f>
        <v>1876.6397422092759</v>
      </c>
      <c r="AF38" s="242">
        <f>'year end'!AF22+'year end'!AF30</f>
        <v>1902.7945867465592</v>
      </c>
    </row>
    <row r="39" spans="1:32" s="3" customFormat="1" ht="13.5" thickBot="1" x14ac:dyDescent="0.25">
      <c r="A39" s="8" t="s">
        <v>205</v>
      </c>
      <c r="B39" s="8" t="s">
        <v>31</v>
      </c>
      <c r="C39" s="51">
        <f>SUM(C36:C38)</f>
        <v>5160</v>
      </c>
      <c r="D39" s="51">
        <f>SUM(D36:D38)</f>
        <v>5170.0650000000005</v>
      </c>
      <c r="E39" s="51">
        <f t="shared" ref="E39:Q39" si="43">SUM(E36:E38)</f>
        <v>4875.0575000000008</v>
      </c>
      <c r="F39" s="51">
        <f t="shared" si="43"/>
        <v>4902.1512499999972</v>
      </c>
      <c r="G39" s="51">
        <f t="shared" si="43"/>
        <v>4978.9387499999993</v>
      </c>
      <c r="H39" s="51">
        <f t="shared" si="43"/>
        <v>5033.3262500000055</v>
      </c>
      <c r="I39" s="51">
        <f t="shared" si="43"/>
        <v>4588.0012500000039</v>
      </c>
      <c r="J39" s="51">
        <f t="shared" si="43"/>
        <v>3666.4899999999984</v>
      </c>
      <c r="K39" s="51">
        <f t="shared" si="43"/>
        <v>2464.6325000000033</v>
      </c>
      <c r="L39" s="51">
        <f t="shared" si="43"/>
        <v>1122.9149999999954</v>
      </c>
      <c r="M39" s="51">
        <f t="shared" si="43"/>
        <v>-677.92999999999984</v>
      </c>
      <c r="N39" s="51">
        <f t="shared" si="43"/>
        <v>-1641.6843699999995</v>
      </c>
      <c r="O39" s="51">
        <f t="shared" si="43"/>
        <v>-2294.2071959999976</v>
      </c>
      <c r="P39" s="51">
        <f t="shared" si="43"/>
        <v>-2936.3103710000019</v>
      </c>
      <c r="Q39" s="149">
        <f t="shared" si="43"/>
        <v>-3612.679005000005</v>
      </c>
      <c r="R39" s="149">
        <f t="shared" ref="R39:AD39" si="44">SUM(R36:R38)</f>
        <v>-4256.3385379999963</v>
      </c>
      <c r="S39" s="149">
        <f t="shared" si="44"/>
        <v>-4861.9348387647024</v>
      </c>
      <c r="T39" s="149">
        <f t="shared" si="44"/>
        <v>-6109.527669529416</v>
      </c>
      <c r="U39" s="149">
        <f t="shared" si="44"/>
        <v>-8278.382081294114</v>
      </c>
      <c r="V39" s="149">
        <f t="shared" si="44"/>
        <v>-10365.296114058823</v>
      </c>
      <c r="W39" s="149">
        <f t="shared" si="44"/>
        <v>-11977.728324394962</v>
      </c>
      <c r="X39" s="149">
        <f>SUM(X36:X38)</f>
        <v>-13649.258559159674</v>
      </c>
      <c r="Y39" s="149">
        <f t="shared" si="44"/>
        <v>-14691.968354902054</v>
      </c>
      <c r="Z39" s="149">
        <f t="shared" si="44"/>
        <v>-15897.747915666763</v>
      </c>
      <c r="AA39" s="149">
        <f t="shared" si="44"/>
        <v>-17845.912245431453</v>
      </c>
      <c r="AB39" s="384">
        <f t="shared" si="44"/>
        <v>-20802.502244496147</v>
      </c>
      <c r="AC39" s="106">
        <f t="shared" si="44"/>
        <v>-25034.046432420357</v>
      </c>
      <c r="AD39" s="106">
        <f t="shared" si="44"/>
        <v>-30138.912911321258</v>
      </c>
      <c r="AE39" s="106">
        <f t="shared" ref="AE39:AF39" si="45">SUM(AE36:AE38)</f>
        <v>-35946.463372349339</v>
      </c>
      <c r="AF39" s="282">
        <f t="shared" si="45"/>
        <v>-42364.020537221877</v>
      </c>
    </row>
    <row r="40" spans="1:32" s="3" customFormat="1" ht="13.5" thickTop="1" x14ac:dyDescent="0.2">
      <c r="Q40" s="122"/>
      <c r="R40" s="122"/>
      <c r="S40" s="122"/>
      <c r="T40" s="122"/>
      <c r="U40" s="122"/>
      <c r="V40" s="122"/>
      <c r="W40" s="122"/>
      <c r="X40" s="122"/>
      <c r="Y40" s="122"/>
      <c r="Z40" s="122"/>
      <c r="AA40" s="122"/>
      <c r="AB40" s="352"/>
      <c r="AC40" s="79"/>
      <c r="AD40" s="79"/>
      <c r="AE40" s="79"/>
      <c r="AF40" s="241"/>
    </row>
    <row r="41" spans="1:32" s="3" customFormat="1" x14ac:dyDescent="0.2">
      <c r="Q41" s="122"/>
      <c r="R41" s="122"/>
      <c r="S41" s="122"/>
      <c r="T41" s="122"/>
      <c r="U41" s="122"/>
      <c r="V41" s="122"/>
      <c r="W41" s="122"/>
      <c r="X41" s="122"/>
      <c r="Y41" s="122"/>
      <c r="Z41" s="122"/>
      <c r="AA41" s="122"/>
      <c r="AB41" s="352"/>
      <c r="AC41" s="79"/>
      <c r="AD41" s="79"/>
      <c r="AE41" s="79"/>
      <c r="AF41" s="241"/>
    </row>
  </sheetData>
  <phoneticPr fontId="0" type="noConversion"/>
  <pageMargins left="0.5" right="0.5" top="1" bottom="1" header="0.5" footer="0.5"/>
  <pageSetup paperSize="5" scale="94" orientation="landscape" r:id="rId1"/>
  <headerFooter alignWithMargins="0">
    <oddFooter>&amp;L&amp;"Arial,Bold"&amp;F&amp;C&amp;A
&amp;R&amp;D  &amp;T</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2"/>
  <sheetViews>
    <sheetView workbookViewId="0">
      <pane xSplit="2" ySplit="4" topLeftCell="P5" activePane="bottomRight" state="frozen"/>
      <selection activeCell="A41" sqref="A41"/>
      <selection pane="topRight" activeCell="A41" sqref="A41"/>
      <selection pane="bottomLeft" activeCell="A41" sqref="A41"/>
      <selection pane="bottomRight" activeCell="W18" sqref="W18"/>
    </sheetView>
  </sheetViews>
  <sheetFormatPr baseColWidth="10" defaultColWidth="9.140625" defaultRowHeight="12.75" outlineLevelCol="1" x14ac:dyDescent="0.2"/>
  <cols>
    <col min="1" max="1" width="41.140625" customWidth="1"/>
    <col min="2" max="2" width="20.28515625" customWidth="1"/>
    <col min="3" max="8" width="11.5703125" hidden="1" customWidth="1" outlineLevel="1"/>
    <col min="9" max="9" width="11" hidden="1" customWidth="1" outlineLevel="1"/>
    <col min="10" max="10" width="11.85546875" hidden="1" customWidth="1" outlineLevel="1"/>
    <col min="11" max="11" width="11.5703125" hidden="1" customWidth="1" outlineLevel="1"/>
    <col min="12" max="12" width="11.5703125" style="116" hidden="1" customWidth="1" outlineLevel="1"/>
    <col min="13" max="13" width="11.7109375" style="116" hidden="1" customWidth="1" outlineLevel="1"/>
    <col min="14" max="14" width="12.140625" style="116" hidden="1" customWidth="1" outlineLevel="1"/>
    <col min="15" max="15" width="12.85546875" style="116" hidden="1" customWidth="1" outlineLevel="1"/>
    <col min="16" max="16" width="11.140625" style="116" bestFit="1" customWidth="1" collapsed="1"/>
    <col min="17" max="17" width="16.42578125" style="116" customWidth="1"/>
    <col min="18" max="19" width="11.140625" style="116" bestFit="1" customWidth="1"/>
    <col min="20" max="20" width="13.5703125" style="116" customWidth="1"/>
    <col min="21" max="22" width="12.28515625" style="116" bestFit="1" customWidth="1"/>
    <col min="23" max="23" width="12.140625" style="345" customWidth="1"/>
    <col min="24" max="26" width="9.140625" style="76" hidden="1" customWidth="1" outlineLevel="1"/>
    <col min="27" max="27" width="9.140625" style="239" hidden="1" customWidth="1" outlineLevel="1"/>
    <col min="28" max="28" width="9.140625" collapsed="1"/>
  </cols>
  <sheetData>
    <row r="1" spans="1:27" ht="15.75" x14ac:dyDescent="0.25">
      <c r="A1" s="18" t="s">
        <v>258</v>
      </c>
    </row>
    <row r="2" spans="1:27" x14ac:dyDescent="0.2">
      <c r="A2" s="2" t="s">
        <v>195</v>
      </c>
    </row>
    <row r="4" spans="1:27" s="2" customFormat="1" ht="13.5" thickBot="1" x14ac:dyDescent="0.25">
      <c r="A4" s="19" t="s">
        <v>156</v>
      </c>
      <c r="B4" s="20" t="s">
        <v>26</v>
      </c>
      <c r="C4" s="62" t="s">
        <v>38</v>
      </c>
      <c r="D4" s="62" t="s">
        <v>39</v>
      </c>
      <c r="E4" s="62" t="s">
        <v>40</v>
      </c>
      <c r="F4" s="62" t="s">
        <v>41</v>
      </c>
      <c r="G4" s="62" t="s">
        <v>295</v>
      </c>
      <c r="H4" s="62" t="s">
        <v>43</v>
      </c>
      <c r="I4" s="62" t="s">
        <v>44</v>
      </c>
      <c r="J4" s="62" t="s">
        <v>45</v>
      </c>
      <c r="K4" s="62" t="s">
        <v>168</v>
      </c>
      <c r="L4" s="151" t="s">
        <v>169</v>
      </c>
      <c r="M4" s="151" t="s">
        <v>170</v>
      </c>
      <c r="N4" s="151" t="s">
        <v>171</v>
      </c>
      <c r="O4" s="151" t="s">
        <v>172</v>
      </c>
      <c r="P4" s="151" t="s">
        <v>173</v>
      </c>
      <c r="Q4" s="151" t="s">
        <v>174</v>
      </c>
      <c r="R4" s="151" t="s">
        <v>175</v>
      </c>
      <c r="S4" s="151" t="s">
        <v>176</v>
      </c>
      <c r="T4" s="151" t="s">
        <v>177</v>
      </c>
      <c r="U4" s="151" t="s">
        <v>178</v>
      </c>
      <c r="V4" s="151" t="s">
        <v>294</v>
      </c>
      <c r="W4" s="377" t="s">
        <v>309</v>
      </c>
      <c r="X4" s="109" t="s">
        <v>315</v>
      </c>
      <c r="Y4" s="109" t="s">
        <v>316</v>
      </c>
      <c r="Z4" s="109" t="s">
        <v>317</v>
      </c>
      <c r="AA4" s="275" t="s">
        <v>318</v>
      </c>
    </row>
    <row r="6" spans="1:27" s="3" customFormat="1" x14ac:dyDescent="0.2">
      <c r="A6" s="12" t="s">
        <v>236</v>
      </c>
      <c r="L6" s="122"/>
      <c r="M6" s="122"/>
      <c r="N6" s="122"/>
      <c r="O6" s="122"/>
      <c r="P6" s="122"/>
      <c r="Q6" s="122"/>
      <c r="R6" s="122"/>
      <c r="S6" s="122"/>
      <c r="T6" s="122"/>
      <c r="U6" s="122"/>
      <c r="V6" s="122"/>
      <c r="W6" s="352"/>
      <c r="X6" s="79"/>
      <c r="Y6" s="79"/>
      <c r="Z6" s="79"/>
      <c r="AA6" s="241"/>
    </row>
    <row r="7" spans="1:27" s="3" customFormat="1" x14ac:dyDescent="0.2">
      <c r="L7" s="122"/>
      <c r="M7" s="122"/>
      <c r="N7" s="122"/>
      <c r="O7" s="122"/>
      <c r="P7" s="122"/>
      <c r="Q7" s="122"/>
      <c r="R7" s="122"/>
      <c r="S7" s="122"/>
      <c r="T7" s="122"/>
      <c r="U7" s="122"/>
      <c r="V7" s="122"/>
      <c r="W7" s="352"/>
      <c r="X7" s="79"/>
      <c r="Y7" s="79"/>
      <c r="Z7" s="79"/>
      <c r="AA7" s="241"/>
    </row>
    <row r="8" spans="1:27" s="3" customFormat="1" x14ac:dyDescent="0.2">
      <c r="A8" s="3" t="s">
        <v>197</v>
      </c>
      <c r="B8" s="3" t="s">
        <v>238</v>
      </c>
      <c r="C8" s="3">
        <f t="shared" ref="C8:I8" si="0">C24/2</f>
        <v>190</v>
      </c>
      <c r="D8" s="3">
        <f t="shared" si="0"/>
        <v>173.5</v>
      </c>
      <c r="E8" s="3">
        <f t="shared" si="0"/>
        <v>136.5</v>
      </c>
      <c r="F8" s="3">
        <f t="shared" si="0"/>
        <v>143</v>
      </c>
      <c r="G8" s="3">
        <f t="shared" si="0"/>
        <v>119.5</v>
      </c>
      <c r="H8" s="3">
        <f t="shared" si="0"/>
        <v>153</v>
      </c>
      <c r="I8" s="3">
        <f t="shared" si="0"/>
        <v>180.5</v>
      </c>
      <c r="J8" s="3">
        <f t="shared" ref="J8:P9" si="1">J24/2</f>
        <v>237.5</v>
      </c>
      <c r="K8" s="3">
        <f t="shared" si="1"/>
        <v>79</v>
      </c>
      <c r="L8" s="122">
        <f t="shared" si="1"/>
        <v>94.5</v>
      </c>
      <c r="M8" s="122">
        <f t="shared" si="1"/>
        <v>84</v>
      </c>
      <c r="N8" s="122">
        <f t="shared" si="1"/>
        <v>104</v>
      </c>
      <c r="O8" s="122">
        <f t="shared" si="1"/>
        <v>122.5</v>
      </c>
      <c r="P8" s="122">
        <f t="shared" si="1"/>
        <v>113.5</v>
      </c>
      <c r="Q8" s="227">
        <f t="shared" ref="Q8:S9" si="2">Q24/2</f>
        <v>148</v>
      </c>
      <c r="R8" s="122">
        <f t="shared" si="2"/>
        <v>192</v>
      </c>
      <c r="S8" s="122">
        <f t="shared" si="2"/>
        <v>196</v>
      </c>
      <c r="T8" s="122">
        <f t="shared" ref="T8:V9" si="3">T24/2</f>
        <v>190</v>
      </c>
      <c r="U8" s="122">
        <f t="shared" si="3"/>
        <v>172</v>
      </c>
      <c r="V8" s="122">
        <f t="shared" si="3"/>
        <v>165</v>
      </c>
      <c r="W8" s="352">
        <f t="shared" ref="W8:Y9" si="4">W24/2</f>
        <v>154.5</v>
      </c>
      <c r="X8" s="79">
        <f t="shared" si="4"/>
        <v>155</v>
      </c>
      <c r="Y8" s="79">
        <f t="shared" si="4"/>
        <v>155.5</v>
      </c>
      <c r="Z8" s="79">
        <f t="shared" ref="Z8:AA8" si="5">Z24/2</f>
        <v>156</v>
      </c>
      <c r="AA8" s="241">
        <f t="shared" si="5"/>
        <v>156.5</v>
      </c>
    </row>
    <row r="9" spans="1:27" s="3" customFormat="1" x14ac:dyDescent="0.2">
      <c r="A9" s="3" t="s">
        <v>198</v>
      </c>
      <c r="B9" s="3" t="s">
        <v>238</v>
      </c>
      <c r="C9" s="3">
        <f t="shared" ref="C9:I9" si="6">C25/2</f>
        <v>0</v>
      </c>
      <c r="D9" s="3">
        <f t="shared" si="6"/>
        <v>-0.5</v>
      </c>
      <c r="E9" s="3">
        <f t="shared" si="6"/>
        <v>-0.5</v>
      </c>
      <c r="F9" s="3">
        <f t="shared" si="6"/>
        <v>-0.5</v>
      </c>
      <c r="G9" s="3">
        <f t="shared" si="6"/>
        <v>-0.5</v>
      </c>
      <c r="H9" s="3">
        <f t="shared" si="6"/>
        <v>-1</v>
      </c>
      <c r="I9" s="3">
        <f t="shared" si="6"/>
        <v>-1</v>
      </c>
      <c r="J9" s="3">
        <f t="shared" si="1"/>
        <v>-1.0745</v>
      </c>
      <c r="K9" s="3">
        <f t="shared" si="1"/>
        <v>-2.6114999999999999</v>
      </c>
      <c r="L9" s="122">
        <f t="shared" si="1"/>
        <v>-3.964</v>
      </c>
      <c r="M9" s="122">
        <f t="shared" si="1"/>
        <v>-4.7930000000000001</v>
      </c>
      <c r="N9" s="122">
        <f t="shared" si="1"/>
        <v>-5.2430000000000003</v>
      </c>
      <c r="O9" s="122">
        <f t="shared" si="1"/>
        <v>-5.2885</v>
      </c>
      <c r="P9" s="122">
        <f t="shared" si="1"/>
        <v>-6.86</v>
      </c>
      <c r="Q9" s="227">
        <f t="shared" si="2"/>
        <v>-6.8624999999999998</v>
      </c>
      <c r="R9" s="122">
        <f t="shared" si="2"/>
        <v>-7.6844999999999999</v>
      </c>
      <c r="S9" s="122">
        <f t="shared" si="2"/>
        <v>-7.7785000000000002</v>
      </c>
      <c r="T9" s="122">
        <f t="shared" si="3"/>
        <v>-8.5839999999999996</v>
      </c>
      <c r="U9" s="122">
        <f t="shared" si="3"/>
        <v>-12.182499999999999</v>
      </c>
      <c r="V9" s="122">
        <f t="shared" si="3"/>
        <v>-13.051</v>
      </c>
      <c r="W9" s="352">
        <f t="shared" si="4"/>
        <v>-12.563000000000001</v>
      </c>
      <c r="X9" s="79">
        <f t="shared" si="4"/>
        <v>-12.305246250000003</v>
      </c>
      <c r="Y9" s="79">
        <f t="shared" si="4"/>
        <v>-12.094036839062507</v>
      </c>
      <c r="Z9" s="79">
        <f t="shared" ref="Z9:AA9" si="7">Z25/2</f>
        <v>-11.932330639634774</v>
      </c>
      <c r="AA9" s="241">
        <f t="shared" si="7"/>
        <v>-11.823203682104779</v>
      </c>
    </row>
    <row r="10" spans="1:27" s="3" customFormat="1" x14ac:dyDescent="0.2">
      <c r="A10" s="3" t="s">
        <v>196</v>
      </c>
      <c r="B10" s="3" t="s">
        <v>238</v>
      </c>
      <c r="C10" s="3">
        <f t="shared" ref="C10:I10" si="8">C27/2</f>
        <v>0</v>
      </c>
      <c r="D10" s="3">
        <f t="shared" si="8"/>
        <v>37.157187499999992</v>
      </c>
      <c r="E10" s="3">
        <f t="shared" si="8"/>
        <v>84.583749999999981</v>
      </c>
      <c r="F10" s="3">
        <f t="shared" si="8"/>
        <v>88.40187499999999</v>
      </c>
      <c r="G10" s="3">
        <f t="shared" si="8"/>
        <v>116.91374999999999</v>
      </c>
      <c r="H10" s="68">
        <f>(H27/2)</f>
        <v>87.5</v>
      </c>
      <c r="I10" s="3">
        <f t="shared" si="8"/>
        <v>73.15949999999998</v>
      </c>
      <c r="J10" s="191">
        <f t="shared" ref="J10:P10" si="9">J27/2+0.61439875</f>
        <v>33.114398749999999</v>
      </c>
      <c r="K10" s="68">
        <f t="shared" si="9"/>
        <v>184.11439874999999</v>
      </c>
      <c r="L10" s="154">
        <f t="shared" si="9"/>
        <v>157.11439874999999</v>
      </c>
      <c r="M10" s="154">
        <f t="shared" si="9"/>
        <v>155.61439874999999</v>
      </c>
      <c r="N10" s="154">
        <f t="shared" si="9"/>
        <v>120.61439875000001</v>
      </c>
      <c r="O10" s="154">
        <f t="shared" si="9"/>
        <v>88.114398750000007</v>
      </c>
      <c r="P10" s="154">
        <f t="shared" si="9"/>
        <v>85.614398750000007</v>
      </c>
      <c r="Q10" s="227">
        <f t="shared" ref="Q10:V10" si="10">Q27/2+0.61439875</f>
        <v>38.614398749999999</v>
      </c>
      <c r="R10" s="154">
        <f t="shared" si="10"/>
        <v>-8.8856012500000006</v>
      </c>
      <c r="S10" s="154">
        <f>S27/2+0.61439875</f>
        <v>-12.385601250000001</v>
      </c>
      <c r="T10" s="122">
        <f t="shared" si="10"/>
        <v>-6.8856012499999997</v>
      </c>
      <c r="U10" s="122">
        <f t="shared" si="10"/>
        <v>10.614398749999999</v>
      </c>
      <c r="V10" s="154">
        <f t="shared" si="10"/>
        <v>12.114398749999999</v>
      </c>
      <c r="W10" s="385">
        <f>W27/2+0.61439875</f>
        <v>11.114398749999999</v>
      </c>
      <c r="X10" s="111">
        <f>X27/2+0.61439875</f>
        <v>11.114398749999999</v>
      </c>
      <c r="Y10" s="111">
        <f>Y27/2+0.61439875</f>
        <v>10.114398749999999</v>
      </c>
      <c r="Z10" s="111">
        <f>Z27/2+0.61439875</f>
        <v>9.6143987499999994</v>
      </c>
      <c r="AA10" s="283">
        <f>AA27/2+0.61439875</f>
        <v>10.114398749999999</v>
      </c>
    </row>
    <row r="11" spans="1:27" s="49" customFormat="1" ht="15.75" x14ac:dyDescent="0.25">
      <c r="A11" s="52" t="s">
        <v>205</v>
      </c>
      <c r="B11" s="9" t="s">
        <v>241</v>
      </c>
      <c r="C11" s="56">
        <f t="shared" ref="C11:I11" si="11">SUM(C8:C10)</f>
        <v>190</v>
      </c>
      <c r="D11" s="56">
        <f t="shared" si="11"/>
        <v>210.15718749999999</v>
      </c>
      <c r="E11" s="56">
        <f t="shared" si="11"/>
        <v>220.58374999999998</v>
      </c>
      <c r="F11" s="56">
        <f t="shared" si="11"/>
        <v>230.90187499999999</v>
      </c>
      <c r="G11" s="56">
        <f t="shared" si="11"/>
        <v>235.91374999999999</v>
      </c>
      <c r="H11" s="56">
        <f t="shared" si="11"/>
        <v>239.5</v>
      </c>
      <c r="I11" s="56">
        <f t="shared" si="11"/>
        <v>252.65949999999998</v>
      </c>
      <c r="J11" s="56">
        <f t="shared" ref="J11:Y11" si="12">SUM(J8:J10)</f>
        <v>269.53989875000002</v>
      </c>
      <c r="K11" s="56">
        <f t="shared" si="12"/>
        <v>260.50289874999999</v>
      </c>
      <c r="L11" s="146">
        <f t="shared" si="12"/>
        <v>247.65039874999999</v>
      </c>
      <c r="M11" s="146">
        <f t="shared" si="12"/>
        <v>234.82139874999999</v>
      </c>
      <c r="N11" s="146">
        <f t="shared" si="12"/>
        <v>219.37139875000003</v>
      </c>
      <c r="O11" s="146">
        <f t="shared" si="12"/>
        <v>205.32589875000002</v>
      </c>
      <c r="P11" s="146">
        <f t="shared" si="12"/>
        <v>192.25439875000001</v>
      </c>
      <c r="Q11" s="230">
        <f t="shared" si="12"/>
        <v>179.75189874999998</v>
      </c>
      <c r="R11" s="146">
        <f t="shared" si="12"/>
        <v>175.42989874999998</v>
      </c>
      <c r="S11" s="146">
        <f t="shared" si="12"/>
        <v>175.83589874999998</v>
      </c>
      <c r="T11" s="146">
        <f t="shared" si="12"/>
        <v>174.53039874999999</v>
      </c>
      <c r="U11" s="146">
        <f t="shared" si="12"/>
        <v>170.43189874999999</v>
      </c>
      <c r="V11" s="146">
        <f t="shared" si="12"/>
        <v>164.06339875</v>
      </c>
      <c r="W11" s="382">
        <f t="shared" si="12"/>
        <v>153.05139875</v>
      </c>
      <c r="X11" s="102">
        <f t="shared" si="12"/>
        <v>153.80915249999998</v>
      </c>
      <c r="Y11" s="102">
        <f t="shared" si="12"/>
        <v>153.52036191093748</v>
      </c>
      <c r="Z11" s="102">
        <f t="shared" ref="Z11:AA11" si="13">SUM(Z8:Z10)</f>
        <v>153.68206811036521</v>
      </c>
      <c r="AA11" s="279">
        <f t="shared" si="13"/>
        <v>154.79119506789522</v>
      </c>
    </row>
    <row r="12" spans="1:27" s="49" customFormat="1" ht="15.75" x14ac:dyDescent="0.25">
      <c r="A12" s="52"/>
      <c r="B12" s="9"/>
      <c r="C12" s="71"/>
      <c r="D12" s="71"/>
      <c r="E12" s="71"/>
      <c r="F12" s="71"/>
      <c r="G12" s="71"/>
      <c r="H12" s="71"/>
      <c r="I12" s="71"/>
      <c r="J12" s="71"/>
      <c r="K12" s="71"/>
      <c r="L12" s="155"/>
      <c r="M12" s="155"/>
      <c r="N12" s="155"/>
      <c r="O12" s="155"/>
      <c r="P12" s="155"/>
      <c r="Q12" s="155"/>
      <c r="R12" s="155"/>
      <c r="S12" s="155"/>
      <c r="T12" s="155"/>
      <c r="U12" s="155"/>
      <c r="V12" s="155"/>
      <c r="W12" s="386"/>
      <c r="X12" s="112"/>
      <c r="Y12" s="112"/>
      <c r="Z12" s="112"/>
      <c r="AA12" s="284"/>
    </row>
    <row r="13" spans="1:27" s="9" customFormat="1" x14ac:dyDescent="0.2">
      <c r="I13" s="9" t="s">
        <v>307</v>
      </c>
      <c r="J13" s="72">
        <f t="shared" ref="J13:R13" si="14">J18*1000000</f>
        <v>269539898.74999994</v>
      </c>
      <c r="K13" s="72">
        <f t="shared" si="14"/>
        <v>260894293.62500006</v>
      </c>
      <c r="L13" s="72">
        <f t="shared" si="14"/>
        <v>248118761.5325</v>
      </c>
      <c r="M13" s="72">
        <f t="shared" si="14"/>
        <v>235893307.25</v>
      </c>
      <c r="N13" s="72">
        <f t="shared" si="14"/>
        <v>219066111.33999997</v>
      </c>
      <c r="O13" s="171">
        <f t="shared" si="14"/>
        <v>206721209.37500003</v>
      </c>
      <c r="P13" s="171">
        <f t="shared" si="14"/>
        <v>193161611.75000003</v>
      </c>
      <c r="Q13" s="171">
        <f t="shared" si="14"/>
        <v>179984133.09000003</v>
      </c>
      <c r="R13" s="171">
        <f t="shared" si="14"/>
        <v>176472308.5</v>
      </c>
      <c r="S13" s="171">
        <f>S11*1000000</f>
        <v>175835898.74999997</v>
      </c>
      <c r="T13" s="171">
        <f>T11*1000000</f>
        <v>174530398.75</v>
      </c>
      <c r="U13" s="157">
        <f>U11*1000000</f>
        <v>170431898.75</v>
      </c>
      <c r="V13" s="157">
        <f>V11*1000000</f>
        <v>164063398.75</v>
      </c>
      <c r="W13" s="157">
        <f>W11*1000000</f>
        <v>153051398.75</v>
      </c>
      <c r="X13" s="113"/>
      <c r="Y13" s="113"/>
      <c r="Z13" s="113"/>
      <c r="AA13" s="285"/>
    </row>
    <row r="14" spans="1:27" s="9" customFormat="1" x14ac:dyDescent="0.2">
      <c r="A14" s="12" t="s">
        <v>255</v>
      </c>
      <c r="L14" s="147"/>
      <c r="M14" s="147"/>
      <c r="N14" s="147"/>
      <c r="O14" s="147"/>
      <c r="P14" s="147"/>
      <c r="Q14" s="147"/>
      <c r="R14" s="147"/>
      <c r="S14" s="147"/>
      <c r="T14" s="147"/>
      <c r="U14" s="147"/>
      <c r="V14" s="147"/>
      <c r="W14" s="351"/>
      <c r="X14" s="103"/>
      <c r="Y14" s="103"/>
      <c r="Z14" s="103"/>
      <c r="AA14" s="267"/>
    </row>
    <row r="15" spans="1:27" s="9" customFormat="1" x14ac:dyDescent="0.2">
      <c r="A15" s="9" t="s">
        <v>252</v>
      </c>
      <c r="B15" s="9" t="s">
        <v>66</v>
      </c>
      <c r="D15" s="9">
        <f t="shared" ref="D15:K15" si="15">+C11</f>
        <v>190</v>
      </c>
      <c r="E15" s="9">
        <f t="shared" si="15"/>
        <v>210.15718749999999</v>
      </c>
      <c r="F15" s="9">
        <f t="shared" si="15"/>
        <v>220.58374999999998</v>
      </c>
      <c r="G15" s="9">
        <f t="shared" si="15"/>
        <v>230.90187499999999</v>
      </c>
      <c r="H15" s="9">
        <f t="shared" si="15"/>
        <v>235.91374999999999</v>
      </c>
      <c r="I15" s="9">
        <f t="shared" si="15"/>
        <v>239.5</v>
      </c>
      <c r="J15" s="9">
        <f t="shared" si="15"/>
        <v>252.65949999999998</v>
      </c>
      <c r="K15" s="9">
        <f t="shared" si="15"/>
        <v>269.53989875000002</v>
      </c>
      <c r="L15" s="147">
        <f t="shared" ref="L15:AA15" si="16">+K11</f>
        <v>260.50289874999999</v>
      </c>
      <c r="M15" s="147">
        <f t="shared" si="16"/>
        <v>247.65039874999999</v>
      </c>
      <c r="N15" s="147">
        <f t="shared" si="16"/>
        <v>234.82139874999999</v>
      </c>
      <c r="O15" s="147">
        <f t="shared" si="16"/>
        <v>219.37139875000003</v>
      </c>
      <c r="P15" s="147">
        <f t="shared" si="16"/>
        <v>205.32589875000002</v>
      </c>
      <c r="Q15" s="147">
        <f t="shared" si="16"/>
        <v>192.25439875000001</v>
      </c>
      <c r="R15" s="147">
        <f t="shared" si="16"/>
        <v>179.75189874999998</v>
      </c>
      <c r="S15" s="147">
        <f t="shared" si="16"/>
        <v>175.42989874999998</v>
      </c>
      <c r="T15" s="340">
        <f>+S11</f>
        <v>175.83589874999998</v>
      </c>
      <c r="U15" s="340">
        <f>+T11</f>
        <v>174.53039874999999</v>
      </c>
      <c r="V15" s="147">
        <f t="shared" si="16"/>
        <v>170.43189874999999</v>
      </c>
      <c r="W15" s="351">
        <f t="shared" si="16"/>
        <v>164.06339875</v>
      </c>
      <c r="X15" s="103">
        <f t="shared" si="16"/>
        <v>153.05139875</v>
      </c>
      <c r="Y15" s="103">
        <f t="shared" si="16"/>
        <v>153.80915249999998</v>
      </c>
      <c r="Z15" s="103">
        <f t="shared" si="16"/>
        <v>153.52036191093748</v>
      </c>
      <c r="AA15" s="267">
        <f t="shared" si="16"/>
        <v>153.68206811036521</v>
      </c>
    </row>
    <row r="16" spans="1:27" s="9" customFormat="1" x14ac:dyDescent="0.2">
      <c r="A16" s="9" t="s">
        <v>327</v>
      </c>
      <c r="B16" s="9" t="s">
        <v>328</v>
      </c>
      <c r="K16" s="9">
        <f>'RCA data'!K$34*-1</f>
        <v>-2</v>
      </c>
      <c r="L16" s="9">
        <f>'RCA data'!L$34*-1</f>
        <v>-1.7209587799999999</v>
      </c>
      <c r="M16" s="9">
        <f>'RCA data'!M$34*-1</f>
        <v>-1.2749999999999999</v>
      </c>
      <c r="N16" s="147">
        <f>'RCA data'!N$34*-1</f>
        <v>-1.9167769100000001</v>
      </c>
      <c r="O16" s="147">
        <f>'RCA data'!O$34*-1</f>
        <v>-0.75204199999999999</v>
      </c>
      <c r="P16" s="147">
        <f>'RCA data'!P$34*-1</f>
        <v>-2.5734319999999999</v>
      </c>
      <c r="Q16" s="147">
        <f>'RCA data'!Q$34*-1</f>
        <v>-1.5433056599999999</v>
      </c>
      <c r="R16" s="147">
        <f>'RCA data'!R$34*-1</f>
        <v>-2.1390500000000001</v>
      </c>
      <c r="S16" s="147">
        <f>'RCA data'!S$34*-1</f>
        <v>-2.3824589999999999</v>
      </c>
      <c r="T16" s="340">
        <f>'RCA data'!T$34*-1</f>
        <v>-2.4652271099999998</v>
      </c>
      <c r="U16" s="340">
        <f>'RCA data'!U$34*-1</f>
        <v>-5.4058700000000002</v>
      </c>
      <c r="V16" s="147">
        <f>'RCA data'!V$34*-1</f>
        <v>-5.1298110000000001</v>
      </c>
      <c r="W16" s="351">
        <f>'RCA data'!W$34*-1</f>
        <v>-2.6689590000000001</v>
      </c>
      <c r="X16" s="103">
        <f>'RCA data'!X$34*-1</f>
        <v>-2.735682975</v>
      </c>
      <c r="Y16" s="103">
        <f>'RCA data'!Y$34*-1</f>
        <v>-2.8040750493749997</v>
      </c>
      <c r="Z16" s="103">
        <f>'RCA data'!Z$34*-1</f>
        <v>-2.8741769256093743</v>
      </c>
      <c r="AA16" s="267">
        <f>'RCA data'!AA$34*-1</f>
        <v>-2.9460313487496084</v>
      </c>
    </row>
    <row r="17" spans="1:27" s="9" customFormat="1" x14ac:dyDescent="0.2">
      <c r="A17" s="9" t="s">
        <v>305</v>
      </c>
      <c r="B17" s="9" t="s">
        <v>277</v>
      </c>
      <c r="D17" s="9">
        <f>'RCA exp'!C15</f>
        <v>20.657187499999999</v>
      </c>
      <c r="E17" s="9">
        <f>'RCA exp'!D15</f>
        <v>10.426562499999999</v>
      </c>
      <c r="F17" s="9">
        <f>'RCA exp'!E15</f>
        <v>10.318124999999998</v>
      </c>
      <c r="G17" s="9">
        <f>'RCA exp'!F15</f>
        <v>5.0118750000000007</v>
      </c>
      <c r="H17" s="9">
        <f>'RCA exp'!G15</f>
        <v>3.375</v>
      </c>
      <c r="I17" s="9">
        <f>'RCA exp'!H15</f>
        <v>13.370750000000001</v>
      </c>
      <c r="J17" s="9">
        <f>'RCA exp'!I15</f>
        <v>16.880398750000001</v>
      </c>
      <c r="K17" s="9">
        <f>'RCA exp'!J15</f>
        <v>-6.6456051249999994</v>
      </c>
      <c r="L17" s="147">
        <f>'RCA exp'!K15</f>
        <v>-10.663178437500001</v>
      </c>
      <c r="M17" s="147">
        <f>'RCA exp'!L15</f>
        <v>-10.482091499999999</v>
      </c>
      <c r="N17" s="147">
        <f>'RCA exp'!M15</f>
        <v>-13.838510500000002</v>
      </c>
      <c r="O17" s="147">
        <f>'RCA exp'!N15</f>
        <v>-11.898147375000001</v>
      </c>
      <c r="P17" s="147">
        <f>'RCA exp'!O15</f>
        <v>-9.5908550000000012</v>
      </c>
      <c r="Q17" s="147">
        <f>'RCA exp'!P15</f>
        <v>-10.72696</v>
      </c>
      <c r="R17" s="147">
        <f>'RCA exp'!Q15</f>
        <v>-1.1405402499999995</v>
      </c>
      <c r="S17" s="147">
        <f>'RCA exp'!R15</f>
        <v>3.4358111874999997</v>
      </c>
      <c r="T17" s="340">
        <f>'RCA exp'!S15</f>
        <v>2.6542862500000002</v>
      </c>
      <c r="U17" s="340">
        <f>'RCA exp'!T15</f>
        <v>2.9854625000000006</v>
      </c>
      <c r="V17" s="147">
        <f>'RCA exp'!U15</f>
        <v>-1.1293817500000003</v>
      </c>
      <c r="W17" s="351">
        <f>'RCA exp'!V15</f>
        <v>-5.1412512499999998</v>
      </c>
      <c r="X17" s="103">
        <f>'RCA exp'!W15</f>
        <v>6.7104649250000001</v>
      </c>
      <c r="Y17" s="103">
        <f>'RCA exp'!X15</f>
        <v>5.8240372295</v>
      </c>
      <c r="Z17" s="103">
        <f>'RCA exp'!Y15</f>
        <v>6.4405796891495299</v>
      </c>
      <c r="AA17" s="267">
        <f>'RCA exp'!Z15</f>
        <v>7.560183855459278</v>
      </c>
    </row>
    <row r="18" spans="1:27" s="8" customFormat="1" x14ac:dyDescent="0.2">
      <c r="A18" s="8" t="s">
        <v>253</v>
      </c>
      <c r="B18" s="8" t="s">
        <v>31</v>
      </c>
      <c r="C18" s="21"/>
      <c r="D18" s="21">
        <f t="shared" ref="D18:K18" si="17">SUM(D15:D17)</f>
        <v>210.65718749999999</v>
      </c>
      <c r="E18" s="21">
        <f t="shared" si="17"/>
        <v>220.58374999999998</v>
      </c>
      <c r="F18" s="21">
        <f t="shared" si="17"/>
        <v>230.90187499999999</v>
      </c>
      <c r="G18" s="21">
        <f t="shared" si="17"/>
        <v>235.91374999999999</v>
      </c>
      <c r="H18" s="21">
        <f t="shared" si="17"/>
        <v>239.28874999999999</v>
      </c>
      <c r="I18" s="21">
        <f t="shared" si="17"/>
        <v>252.87074999999999</v>
      </c>
      <c r="J18" s="21">
        <f t="shared" si="17"/>
        <v>269.53989874999996</v>
      </c>
      <c r="K18" s="21">
        <f t="shared" si="17"/>
        <v>260.89429362500005</v>
      </c>
      <c r="L18" s="141">
        <f t="shared" ref="L18:Y18" si="18">SUM(L15:L17)</f>
        <v>248.1187615325</v>
      </c>
      <c r="M18" s="141">
        <f t="shared" si="18"/>
        <v>235.89330724999999</v>
      </c>
      <c r="N18" s="141">
        <f t="shared" si="18"/>
        <v>219.06611133999996</v>
      </c>
      <c r="O18" s="141">
        <f t="shared" si="18"/>
        <v>206.72120937500003</v>
      </c>
      <c r="P18" s="141">
        <f t="shared" si="18"/>
        <v>193.16161175000002</v>
      </c>
      <c r="Q18" s="141">
        <f t="shared" si="18"/>
        <v>179.98413309000003</v>
      </c>
      <c r="R18" s="141">
        <f t="shared" si="18"/>
        <v>176.4723085</v>
      </c>
      <c r="S18" s="141">
        <f t="shared" si="18"/>
        <v>176.48325093749997</v>
      </c>
      <c r="T18" s="341">
        <f t="shared" si="18"/>
        <v>176.02495789</v>
      </c>
      <c r="U18" s="341">
        <f t="shared" si="18"/>
        <v>172.10999125000001</v>
      </c>
      <c r="V18" s="141">
        <f t="shared" si="18"/>
        <v>164.17270600000001</v>
      </c>
      <c r="W18" s="368">
        <f t="shared" si="18"/>
        <v>156.25318849999999</v>
      </c>
      <c r="X18" s="95">
        <f t="shared" si="18"/>
        <v>157.0261807</v>
      </c>
      <c r="Y18" s="95">
        <f t="shared" si="18"/>
        <v>156.82911468012497</v>
      </c>
      <c r="Z18" s="95">
        <f t="shared" ref="Z18:AA18" si="19">SUM(Z15:Z17)</f>
        <v>157.08676467447765</v>
      </c>
      <c r="AA18" s="262">
        <f t="shared" si="19"/>
        <v>158.29622061707488</v>
      </c>
    </row>
    <row r="19" spans="1:27" s="9" customFormat="1" x14ac:dyDescent="0.2">
      <c r="A19" s="9" t="s">
        <v>217</v>
      </c>
      <c r="D19" s="9">
        <f t="shared" ref="D19:K19" si="20">D18-D11</f>
        <v>0.5</v>
      </c>
      <c r="E19" s="9">
        <f t="shared" si="20"/>
        <v>0</v>
      </c>
      <c r="F19" s="9">
        <f t="shared" si="20"/>
        <v>0</v>
      </c>
      <c r="G19" s="9">
        <f t="shared" si="20"/>
        <v>0</v>
      </c>
      <c r="H19" s="9">
        <f t="shared" si="20"/>
        <v>-0.21125000000000682</v>
      </c>
      <c r="I19" s="9">
        <f t="shared" si="20"/>
        <v>0.21125000000000682</v>
      </c>
      <c r="J19" s="9">
        <f t="shared" si="20"/>
        <v>0</v>
      </c>
      <c r="K19" s="9">
        <f t="shared" si="20"/>
        <v>0.39139487500005998</v>
      </c>
      <c r="L19" s="147">
        <f t="shared" ref="L19:Y19" si="21">L18-L11</f>
        <v>0.46836278250000873</v>
      </c>
      <c r="M19" s="147">
        <f t="shared" si="21"/>
        <v>1.0719085000000064</v>
      </c>
      <c r="N19" s="147">
        <f t="shared" si="21"/>
        <v>-0.30528741000006221</v>
      </c>
      <c r="O19" s="147">
        <f t="shared" si="21"/>
        <v>1.3953106250000076</v>
      </c>
      <c r="P19" s="147">
        <f t="shared" si="21"/>
        <v>0.90721300000001293</v>
      </c>
      <c r="Q19" s="147">
        <f t="shared" si="21"/>
        <v>0.23223434000004772</v>
      </c>
      <c r="R19" s="340">
        <f t="shared" si="21"/>
        <v>1.0424097500000187</v>
      </c>
      <c r="S19" s="340">
        <f t="shared" si="21"/>
        <v>0.64735218749999035</v>
      </c>
      <c r="T19" s="340">
        <f t="shared" si="21"/>
        <v>1.4945591400000069</v>
      </c>
      <c r="U19" s="340">
        <f t="shared" si="21"/>
        <v>1.6780925000000195</v>
      </c>
      <c r="V19" s="147">
        <f t="shared" si="21"/>
        <v>0.10930725000000052</v>
      </c>
      <c r="W19" s="351">
        <f t="shared" si="21"/>
        <v>3.201789749999989</v>
      </c>
      <c r="X19" s="103">
        <f t="shared" si="21"/>
        <v>3.2170282000000157</v>
      </c>
      <c r="Y19" s="103">
        <f t="shared" si="21"/>
        <v>3.3087527691874925</v>
      </c>
      <c r="Z19" s="103">
        <f t="shared" ref="Z19:AA19" si="22">Z18-Z11</f>
        <v>3.4046965641124416</v>
      </c>
      <c r="AA19" s="267">
        <f t="shared" si="22"/>
        <v>3.5050255491796634</v>
      </c>
    </row>
    <row r="20" spans="1:27" s="9" customFormat="1" x14ac:dyDescent="0.2">
      <c r="L20" s="147"/>
      <c r="M20" s="147"/>
      <c r="N20" s="147"/>
      <c r="O20" s="147"/>
      <c r="P20" s="147"/>
      <c r="Q20" s="147"/>
      <c r="R20" s="147"/>
      <c r="S20" s="147"/>
      <c r="T20" s="147"/>
      <c r="U20" s="147"/>
      <c r="V20" s="147"/>
      <c r="W20" s="351"/>
      <c r="X20" s="103"/>
      <c r="Y20" s="103"/>
      <c r="Z20" s="103"/>
      <c r="AA20" s="267"/>
    </row>
    <row r="21" spans="1:27" s="9" customFormat="1" x14ac:dyDescent="0.2">
      <c r="L21" s="147"/>
      <c r="M21" s="147"/>
      <c r="N21" s="147"/>
      <c r="O21" s="147"/>
      <c r="P21" s="147"/>
      <c r="Q21" s="147"/>
      <c r="R21" s="147"/>
      <c r="S21" s="147"/>
      <c r="T21" s="147"/>
      <c r="U21" s="147"/>
      <c r="V21" s="147"/>
      <c r="W21" s="351"/>
      <c r="X21" s="103"/>
      <c r="Y21" s="103"/>
      <c r="Z21" s="103"/>
      <c r="AA21" s="267"/>
    </row>
    <row r="22" spans="1:27" s="3" customFormat="1" x14ac:dyDescent="0.2">
      <c r="A22" s="44" t="s">
        <v>194</v>
      </c>
      <c r="L22" s="122"/>
      <c r="M22" s="122"/>
      <c r="N22" s="122"/>
      <c r="O22" s="122"/>
      <c r="P22" s="122"/>
      <c r="Q22" s="122"/>
      <c r="R22" s="122"/>
      <c r="S22" s="122"/>
      <c r="T22" s="122"/>
      <c r="U22" s="122"/>
      <c r="V22" s="122"/>
      <c r="W22" s="352"/>
      <c r="X22" s="79"/>
      <c r="Y22" s="79"/>
      <c r="Z22" s="79"/>
      <c r="AA22" s="241"/>
    </row>
    <row r="23" spans="1:27" s="3" customFormat="1" x14ac:dyDescent="0.2">
      <c r="L23" s="122"/>
      <c r="M23" s="122"/>
      <c r="N23" s="122"/>
      <c r="O23" s="122"/>
      <c r="P23" s="122"/>
      <c r="Q23" s="122"/>
      <c r="R23" s="122"/>
      <c r="S23" s="122"/>
      <c r="T23" s="122"/>
      <c r="U23" s="122"/>
      <c r="V23" s="122"/>
      <c r="W23" s="352"/>
      <c r="X23" s="79"/>
      <c r="Y23" s="79"/>
      <c r="Z23" s="79"/>
      <c r="AA23" s="241"/>
    </row>
    <row r="24" spans="1:27" s="3" customFormat="1" x14ac:dyDescent="0.2">
      <c r="A24" s="3" t="s">
        <v>197</v>
      </c>
      <c r="B24" s="3" t="s">
        <v>259</v>
      </c>
      <c r="C24" s="3">
        <f>'RCA data'!C11</f>
        <v>380</v>
      </c>
      <c r="D24" s="3">
        <f>'RCA data'!D11</f>
        <v>347</v>
      </c>
      <c r="E24" s="3">
        <f>'RCA data'!E11</f>
        <v>273</v>
      </c>
      <c r="F24" s="3">
        <f>'RCA data'!F11</f>
        <v>286</v>
      </c>
      <c r="G24" s="3">
        <f>'RCA data'!G11</f>
        <v>239</v>
      </c>
      <c r="H24" s="3">
        <f>'RCA data'!H11</f>
        <v>306</v>
      </c>
      <c r="I24" s="3">
        <f>'RCA data'!I11</f>
        <v>361</v>
      </c>
      <c r="J24" s="3">
        <f>ROUND('RCA data'!J11,0)</f>
        <v>475</v>
      </c>
      <c r="K24" s="3">
        <f>ROUND('RCA data'!K11,0)</f>
        <v>158</v>
      </c>
      <c r="L24" s="122">
        <f>ROUND('RCA data'!L11,0)</f>
        <v>189</v>
      </c>
      <c r="M24" s="122">
        <f>ROUND('RCA data'!M11,0)</f>
        <v>168</v>
      </c>
      <c r="N24" s="122">
        <f>ROUND('RCA data'!N11,0)</f>
        <v>208</v>
      </c>
      <c r="O24" s="122">
        <f>ROUND('RCA data'!O11,0)</f>
        <v>245</v>
      </c>
      <c r="P24" s="122">
        <f>ROUND('RCA data'!P11,0)</f>
        <v>227</v>
      </c>
      <c r="Q24" s="122">
        <f>ROUND('RCA data'!Q11,0)</f>
        <v>296</v>
      </c>
      <c r="R24" s="122">
        <f>ROUND('RCA data'!R11,0)</f>
        <v>384</v>
      </c>
      <c r="S24" s="122">
        <f>ROUND('RCA data'!S11,0)</f>
        <v>392</v>
      </c>
      <c r="T24" s="122">
        <f>ROUND('RCA data'!T11,0)</f>
        <v>380</v>
      </c>
      <c r="U24" s="122">
        <f>ROUND('RCA data'!U11,0)</f>
        <v>344</v>
      </c>
      <c r="V24" s="122">
        <f>ROUND('RCA data'!V11,0)</f>
        <v>330</v>
      </c>
      <c r="W24" s="352">
        <f>ROUND('RCA data'!W11,0)</f>
        <v>309</v>
      </c>
      <c r="X24" s="79">
        <f>ROUND('RCA data'!X11,0)</f>
        <v>310</v>
      </c>
      <c r="Y24" s="79">
        <f>ROUND('RCA data'!Y11,0)</f>
        <v>311</v>
      </c>
      <c r="Z24" s="79">
        <f>ROUND('RCA data'!Z11,0)</f>
        <v>312</v>
      </c>
      <c r="AA24" s="241">
        <f>ROUND('RCA data'!AA11,0)</f>
        <v>313</v>
      </c>
    </row>
    <row r="25" spans="1:27" s="3" customFormat="1" x14ac:dyDescent="0.2">
      <c r="A25" s="3" t="s">
        <v>198</v>
      </c>
      <c r="B25" s="3" t="s">
        <v>259</v>
      </c>
      <c r="C25" s="6">
        <f>'RCA data'!C23*-1</f>
        <v>0</v>
      </c>
      <c r="D25" s="6">
        <f>'RCA data'!D23*-1</f>
        <v>-1</v>
      </c>
      <c r="E25" s="6">
        <f>'RCA data'!E23*-1</f>
        <v>-1</v>
      </c>
      <c r="F25" s="6">
        <f>'RCA data'!F23*-1</f>
        <v>-1</v>
      </c>
      <c r="G25" s="6">
        <f>'RCA data'!G23*-1</f>
        <v>-1</v>
      </c>
      <c r="H25" s="6">
        <f>'RCA data'!H23*-1</f>
        <v>-2</v>
      </c>
      <c r="I25" s="6">
        <f>'RCA data'!I23*-1</f>
        <v>-2</v>
      </c>
      <c r="J25" s="6">
        <f>'RCA data'!J23*-1</f>
        <v>-2.149</v>
      </c>
      <c r="K25" s="6">
        <f>'RCA data'!K23*-1</f>
        <v>-5.2229999999999999</v>
      </c>
      <c r="L25" s="126">
        <f>'RCA data'!L23*-1</f>
        <v>-7.9279999999999999</v>
      </c>
      <c r="M25" s="126">
        <f>'RCA data'!M23*-1</f>
        <v>-9.5860000000000003</v>
      </c>
      <c r="N25" s="126">
        <f>'RCA data'!N23*-1</f>
        <v>-10.486000000000001</v>
      </c>
      <c r="O25" s="126">
        <f>'RCA data'!O23*-1</f>
        <v>-10.577</v>
      </c>
      <c r="P25" s="126">
        <f>'RCA data'!P23*-1</f>
        <v>-13.72</v>
      </c>
      <c r="Q25" s="126">
        <f>'RCA data'!Q23*-1</f>
        <v>-13.725</v>
      </c>
      <c r="R25" s="126">
        <f>'RCA data'!R23*-1</f>
        <v>-15.369</v>
      </c>
      <c r="S25" s="126">
        <f>'RCA data'!S23*-1</f>
        <v>-15.557</v>
      </c>
      <c r="T25" s="126">
        <f>'RCA data'!T23*-1</f>
        <v>-17.167999999999999</v>
      </c>
      <c r="U25" s="126">
        <f>'RCA data'!U23*-1</f>
        <v>-24.364999999999998</v>
      </c>
      <c r="V25" s="126">
        <f>'RCA data'!V23*-1</f>
        <v>-26.102</v>
      </c>
      <c r="W25" s="353">
        <f>'RCA data'!W23*-1</f>
        <v>-25.126000000000001</v>
      </c>
      <c r="X25" s="81">
        <f>'RCA data'!X23*-1</f>
        <v>-24.610492500000007</v>
      </c>
      <c r="Y25" s="81">
        <f>'RCA data'!Y23*-1</f>
        <v>-24.188073678125015</v>
      </c>
      <c r="Z25" s="81">
        <f>'RCA data'!Z23*-1</f>
        <v>-23.864661279269548</v>
      </c>
      <c r="AA25" s="242">
        <f>'RCA data'!AA23*-1</f>
        <v>-23.646407364209558</v>
      </c>
    </row>
    <row r="26" spans="1:27" s="8" customFormat="1" x14ac:dyDescent="0.2">
      <c r="A26" s="8" t="s">
        <v>202</v>
      </c>
      <c r="B26" s="8" t="s">
        <v>31</v>
      </c>
      <c r="C26" s="8">
        <f t="shared" ref="C26:K26" si="23">SUM(C24:C25)</f>
        <v>380</v>
      </c>
      <c r="D26" s="8">
        <f t="shared" si="23"/>
        <v>346</v>
      </c>
      <c r="E26" s="8">
        <f t="shared" si="23"/>
        <v>272</v>
      </c>
      <c r="F26" s="8">
        <f t="shared" si="23"/>
        <v>285</v>
      </c>
      <c r="G26" s="8">
        <f t="shared" si="23"/>
        <v>238</v>
      </c>
      <c r="H26" s="8">
        <f t="shared" si="23"/>
        <v>304</v>
      </c>
      <c r="I26" s="8">
        <f t="shared" si="23"/>
        <v>359</v>
      </c>
      <c r="J26" s="8">
        <f t="shared" si="23"/>
        <v>472.851</v>
      </c>
      <c r="K26" s="8">
        <f t="shared" si="23"/>
        <v>152.77699999999999</v>
      </c>
      <c r="L26" s="120">
        <f t="shared" ref="L26:Y26" si="24">SUM(L24:L25)</f>
        <v>181.072</v>
      </c>
      <c r="M26" s="120">
        <f t="shared" si="24"/>
        <v>158.41399999999999</v>
      </c>
      <c r="N26" s="120">
        <f t="shared" si="24"/>
        <v>197.51400000000001</v>
      </c>
      <c r="O26" s="120">
        <f t="shared" si="24"/>
        <v>234.423</v>
      </c>
      <c r="P26" s="120">
        <f t="shared" si="24"/>
        <v>213.28</v>
      </c>
      <c r="Q26" s="120">
        <f t="shared" si="24"/>
        <v>282.27499999999998</v>
      </c>
      <c r="R26" s="120">
        <f t="shared" si="24"/>
        <v>368.63099999999997</v>
      </c>
      <c r="S26" s="120">
        <f t="shared" si="24"/>
        <v>376.44299999999998</v>
      </c>
      <c r="T26" s="120">
        <f t="shared" si="24"/>
        <v>362.83199999999999</v>
      </c>
      <c r="U26" s="120">
        <f t="shared" si="24"/>
        <v>319.63499999999999</v>
      </c>
      <c r="V26" s="120">
        <f t="shared" si="24"/>
        <v>303.89800000000002</v>
      </c>
      <c r="W26" s="350">
        <f t="shared" si="24"/>
        <v>283.87400000000002</v>
      </c>
      <c r="X26" s="78">
        <f t="shared" si="24"/>
        <v>285.38950749999998</v>
      </c>
      <c r="Y26" s="78">
        <f t="shared" si="24"/>
        <v>286.81192632187498</v>
      </c>
      <c r="Z26" s="78">
        <f t="shared" ref="Z26:AA26" si="25">SUM(Z24:Z25)</f>
        <v>288.13533872073043</v>
      </c>
      <c r="AA26" s="243">
        <f t="shared" si="25"/>
        <v>289.35359263579045</v>
      </c>
    </row>
    <row r="27" spans="1:27" s="3" customFormat="1" x14ac:dyDescent="0.2">
      <c r="A27" s="3" t="s">
        <v>196</v>
      </c>
      <c r="B27" s="3" t="s">
        <v>265</v>
      </c>
      <c r="C27" s="3">
        <v>0</v>
      </c>
      <c r="D27" s="3">
        <f>'RCA exp g(l)'!C64</f>
        <v>74.314374999999984</v>
      </c>
      <c r="E27" s="3">
        <f>'RCA exp g(l)'!D64</f>
        <v>169.16749999999996</v>
      </c>
      <c r="F27" s="3">
        <f>'RCA exp g(l)'!E64</f>
        <v>176.80374999999998</v>
      </c>
      <c r="G27" s="3">
        <f>'RCA exp g(l)'!F64</f>
        <v>233.82749999999999</v>
      </c>
      <c r="H27" s="3">
        <f>ROUND('RCA exp g(l)'!G64,0)</f>
        <v>175</v>
      </c>
      <c r="I27" s="3">
        <f>'RCA exp g(l)'!H64</f>
        <v>146.31899999999996</v>
      </c>
      <c r="J27" s="3">
        <f>ROUND('RCA exp g(l)'!I64,0)</f>
        <v>65</v>
      </c>
      <c r="K27" s="3">
        <f>ROUND('RCA exp g(l)'!J64,0)</f>
        <v>367</v>
      </c>
      <c r="L27" s="122">
        <f>ROUND('RCA exp g(l)'!K64,0)</f>
        <v>313</v>
      </c>
      <c r="M27" s="122">
        <f>ROUND('RCA exp g(l)'!L64,0)</f>
        <v>310</v>
      </c>
      <c r="N27" s="122">
        <f>ROUND('RCA exp g(l)'!M64,0)</f>
        <v>240</v>
      </c>
      <c r="O27" s="122">
        <f>ROUND('RCA exp g(l)'!N64,0)</f>
        <v>175</v>
      </c>
      <c r="P27" s="122">
        <f>ROUND('RCA exp g(l)'!O64,0)</f>
        <v>170</v>
      </c>
      <c r="Q27" s="122">
        <f>ROUND('RCA exp g(l)'!P64,0)</f>
        <v>76</v>
      </c>
      <c r="R27" s="122">
        <f>ROUND('RCA exp g(l)'!Q64,0)</f>
        <v>-19</v>
      </c>
      <c r="S27" s="122">
        <f>ROUND('RCA exp g(l)'!R64,0)</f>
        <v>-26</v>
      </c>
      <c r="T27" s="122">
        <f>ROUND('RCA exp g(l)'!S64,0)</f>
        <v>-15</v>
      </c>
      <c r="U27" s="122">
        <f>ROUND('RCA exp g(l)'!T64,0)</f>
        <v>20</v>
      </c>
      <c r="V27" s="122">
        <f>ROUND('RCA exp g(l)'!U64,0)</f>
        <v>23</v>
      </c>
      <c r="W27" s="352">
        <f>ROUND('RCA exp g(l)'!V64,0)</f>
        <v>21</v>
      </c>
      <c r="X27" s="79">
        <f>ROUND('RCA exp g(l)'!W64,0)</f>
        <v>21</v>
      </c>
      <c r="Y27" s="79">
        <f>ROUND('RCA exp g(l)'!X64,0)</f>
        <v>19</v>
      </c>
      <c r="Z27" s="79">
        <f>ROUND('RCA exp g(l)'!Y64,0)</f>
        <v>18</v>
      </c>
      <c r="AA27" s="241">
        <f>ROUND('RCA exp g(l)'!Z64,0)</f>
        <v>19</v>
      </c>
    </row>
    <row r="28" spans="1:27" s="3" customFormat="1" ht="13.5" thickBot="1" x14ac:dyDescent="0.25">
      <c r="A28" s="8" t="s">
        <v>205</v>
      </c>
      <c r="B28" s="8" t="s">
        <v>31</v>
      </c>
      <c r="C28" s="51">
        <f t="shared" ref="C28:K28" si="26">SUM(C26:C27)</f>
        <v>380</v>
      </c>
      <c r="D28" s="51">
        <f t="shared" si="26"/>
        <v>420.31437499999998</v>
      </c>
      <c r="E28" s="51">
        <f t="shared" si="26"/>
        <v>441.16749999999996</v>
      </c>
      <c r="F28" s="51">
        <f t="shared" si="26"/>
        <v>461.80374999999998</v>
      </c>
      <c r="G28" s="51">
        <f t="shared" si="26"/>
        <v>471.82749999999999</v>
      </c>
      <c r="H28" s="51">
        <f t="shared" si="26"/>
        <v>479</v>
      </c>
      <c r="I28" s="51">
        <f t="shared" si="26"/>
        <v>505.31899999999996</v>
      </c>
      <c r="J28" s="51">
        <f t="shared" si="26"/>
        <v>537.851</v>
      </c>
      <c r="K28" s="51">
        <f t="shared" si="26"/>
        <v>519.77700000000004</v>
      </c>
      <c r="L28" s="149">
        <f t="shared" ref="L28:Y28" si="27">SUM(L26:L27)</f>
        <v>494.072</v>
      </c>
      <c r="M28" s="149">
        <f t="shared" si="27"/>
        <v>468.41399999999999</v>
      </c>
      <c r="N28" s="149">
        <f t="shared" si="27"/>
        <v>437.51400000000001</v>
      </c>
      <c r="O28" s="149">
        <f t="shared" si="27"/>
        <v>409.423</v>
      </c>
      <c r="P28" s="149">
        <f t="shared" si="27"/>
        <v>383.28</v>
      </c>
      <c r="Q28" s="149">
        <f t="shared" si="27"/>
        <v>358.27499999999998</v>
      </c>
      <c r="R28" s="149">
        <f t="shared" si="27"/>
        <v>349.63099999999997</v>
      </c>
      <c r="S28" s="149">
        <f t="shared" si="27"/>
        <v>350.44299999999998</v>
      </c>
      <c r="T28" s="149">
        <f t="shared" si="27"/>
        <v>347.83199999999999</v>
      </c>
      <c r="U28" s="149">
        <f t="shared" si="27"/>
        <v>339.63499999999999</v>
      </c>
      <c r="V28" s="149">
        <f t="shared" si="27"/>
        <v>326.89800000000002</v>
      </c>
      <c r="W28" s="384">
        <f t="shared" si="27"/>
        <v>304.87400000000002</v>
      </c>
      <c r="X28" s="106">
        <f t="shared" si="27"/>
        <v>306.38950749999998</v>
      </c>
      <c r="Y28" s="106">
        <f t="shared" si="27"/>
        <v>305.81192632187498</v>
      </c>
      <c r="Z28" s="106">
        <f t="shared" ref="Z28:AA28" si="28">SUM(Z26:Z27)</f>
        <v>306.13533872073043</v>
      </c>
      <c r="AA28" s="282">
        <f t="shared" si="28"/>
        <v>308.35359263579045</v>
      </c>
    </row>
    <row r="29" spans="1:27" s="3" customFormat="1" ht="13.5" thickTop="1" x14ac:dyDescent="0.2">
      <c r="L29" s="122"/>
      <c r="M29" s="122"/>
      <c r="N29" s="122"/>
      <c r="O29" s="122"/>
      <c r="P29" s="122"/>
      <c r="Q29" s="122"/>
      <c r="R29" s="122"/>
      <c r="S29" s="122"/>
      <c r="T29" s="122"/>
      <c r="U29" s="122"/>
      <c r="V29" s="122"/>
      <c r="W29" s="352"/>
      <c r="X29" s="79"/>
      <c r="Y29" s="79"/>
      <c r="Z29" s="79"/>
      <c r="AA29" s="241"/>
    </row>
    <row r="30" spans="1:27" s="3" customFormat="1" x14ac:dyDescent="0.2">
      <c r="J30" s="158"/>
      <c r="L30" s="122"/>
      <c r="M30" s="122"/>
      <c r="N30" s="122"/>
      <c r="O30" s="122"/>
      <c r="P30" s="122"/>
      <c r="Q30" s="122"/>
      <c r="R30" s="122"/>
      <c r="S30" s="122"/>
      <c r="T30" s="122"/>
      <c r="U30" s="122"/>
      <c r="V30" s="122"/>
      <c r="W30" s="352"/>
      <c r="X30" s="79"/>
      <c r="Y30" s="79"/>
      <c r="Z30" s="79"/>
      <c r="AA30" s="241"/>
    </row>
    <row r="31" spans="1:27" x14ac:dyDescent="0.2">
      <c r="J31" t="s">
        <v>360</v>
      </c>
      <c r="Q31" s="233"/>
    </row>
    <row r="32" spans="1:27" x14ac:dyDescent="0.2">
      <c r="Q32" s="107"/>
    </row>
  </sheetData>
  <phoneticPr fontId="0" type="noConversion"/>
  <pageMargins left="0.75" right="0.75" top="1" bottom="1" header="0.5" footer="0.5"/>
  <pageSetup paperSize="5" orientation="landscape" r:id="rId1"/>
  <headerFooter alignWithMargins="0">
    <oddFooter>&amp;L&amp;"Arial,Bold"&amp;F&amp;C&amp;A&amp;R&amp;D  &amp;T</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AG52"/>
  <sheetViews>
    <sheetView workbookViewId="0">
      <pane xSplit="2" ySplit="4" topLeftCell="U5" activePane="bottomRight" state="frozen"/>
      <selection activeCell="A41" sqref="A41"/>
      <selection pane="topRight" activeCell="A41" sqref="A41"/>
      <selection pane="bottomLeft" activeCell="A41" sqref="A41"/>
      <selection pane="bottomRight" activeCell="AB19" sqref="AB19"/>
    </sheetView>
  </sheetViews>
  <sheetFormatPr baseColWidth="10" defaultColWidth="9.140625" defaultRowHeight="12.75" outlineLevelCol="1" x14ac:dyDescent="0.2"/>
  <cols>
    <col min="1" max="1" width="48.140625" customWidth="1"/>
    <col min="2" max="2" width="20.28515625" customWidth="1"/>
    <col min="3" max="4" width="9.140625" hidden="1" customWidth="1"/>
    <col min="5" max="5" width="8.85546875" hidden="1" customWidth="1"/>
    <col min="6" max="6" width="11.5703125" hidden="1" customWidth="1"/>
    <col min="7" max="13" width="11.5703125" hidden="1" customWidth="1" outlineLevel="1"/>
    <col min="14" max="14" width="11" hidden="1" customWidth="1" outlineLevel="1"/>
    <col min="15" max="16" width="9.140625" hidden="1" customWidth="1" outlineLevel="1"/>
    <col min="17" max="17" width="9.140625" style="116" hidden="1" customWidth="1" outlineLevel="1"/>
    <col min="18" max="18" width="15" style="116" hidden="1" customWidth="1" outlineLevel="1"/>
    <col min="19" max="19" width="14.7109375" style="116" hidden="1" customWidth="1" outlineLevel="1"/>
    <col min="20" max="20" width="15.28515625" style="116" hidden="1" customWidth="1" outlineLevel="1"/>
    <col min="21" max="21" width="15" style="116" customWidth="1" collapsed="1"/>
    <col min="22" max="22" width="14.42578125" style="116" customWidth="1"/>
    <col min="23" max="25" width="18.28515625" style="116" bestFit="1" customWidth="1"/>
    <col min="26" max="27" width="16.42578125" style="116" bestFit="1" customWidth="1"/>
    <col min="28" max="28" width="17.7109375" style="345" bestFit="1" customWidth="1"/>
    <col min="29" max="31" width="17.7109375" style="76" hidden="1" customWidth="1" outlineLevel="1"/>
    <col min="32" max="32" width="19.5703125" style="239" hidden="1" customWidth="1" outlineLevel="1"/>
    <col min="33" max="33" width="9.140625" style="116" collapsed="1"/>
    <col min="34" max="16384" width="9.140625" style="116"/>
  </cols>
  <sheetData>
    <row r="1" spans="1:32" ht="15.75" x14ac:dyDescent="0.25">
      <c r="A1" s="18" t="s">
        <v>278</v>
      </c>
    </row>
    <row r="2" spans="1:32" x14ac:dyDescent="0.2">
      <c r="A2" s="2" t="s">
        <v>279</v>
      </c>
    </row>
    <row r="3" spans="1:32" x14ac:dyDescent="0.2">
      <c r="Z3" s="346" t="s">
        <v>178</v>
      </c>
      <c r="AA3" s="346" t="s">
        <v>294</v>
      </c>
      <c r="AB3" s="344" t="s">
        <v>309</v>
      </c>
      <c r="AC3" s="316" t="s">
        <v>315</v>
      </c>
      <c r="AD3" s="316" t="s">
        <v>316</v>
      </c>
      <c r="AE3" s="316" t="s">
        <v>317</v>
      </c>
      <c r="AF3" s="317" t="s">
        <v>318</v>
      </c>
    </row>
    <row r="4" spans="1:32" s="215" customFormat="1" ht="13.5" thickBot="1" x14ac:dyDescent="0.25">
      <c r="A4" s="19" t="s">
        <v>1</v>
      </c>
      <c r="B4" s="20" t="s">
        <v>26</v>
      </c>
      <c r="C4" s="20">
        <v>1990</v>
      </c>
      <c r="D4" s="20">
        <v>1991</v>
      </c>
      <c r="E4" s="20">
        <v>1992</v>
      </c>
      <c r="F4" s="20">
        <v>1993</v>
      </c>
      <c r="G4" s="20">
        <v>1994</v>
      </c>
      <c r="H4" s="20">
        <v>1995</v>
      </c>
      <c r="I4" s="20">
        <v>1996</v>
      </c>
      <c r="J4" s="20">
        <v>1997</v>
      </c>
      <c r="K4" s="20">
        <v>1998</v>
      </c>
      <c r="L4" s="20">
        <v>1999</v>
      </c>
      <c r="M4" s="20">
        <v>2000</v>
      </c>
      <c r="N4" s="20">
        <v>2001</v>
      </c>
      <c r="O4" s="20">
        <v>2002</v>
      </c>
      <c r="P4" s="20">
        <v>2003</v>
      </c>
      <c r="Q4" s="117">
        <v>2004</v>
      </c>
      <c r="R4" s="117">
        <v>2005</v>
      </c>
      <c r="S4" s="117">
        <v>2006</v>
      </c>
      <c r="T4" s="117">
        <v>2007</v>
      </c>
      <c r="U4" s="117">
        <v>2008</v>
      </c>
      <c r="V4" s="117">
        <v>2009</v>
      </c>
      <c r="W4" s="117">
        <v>2010</v>
      </c>
      <c r="X4" s="117">
        <v>2011</v>
      </c>
      <c r="Y4" s="117">
        <v>2012</v>
      </c>
      <c r="Z4" s="117">
        <v>2013</v>
      </c>
      <c r="AA4" s="117">
        <v>2014</v>
      </c>
      <c r="AB4" s="349">
        <v>2015</v>
      </c>
      <c r="AC4" s="77">
        <v>2016</v>
      </c>
      <c r="AD4" s="77">
        <v>2017</v>
      </c>
      <c r="AE4" s="77">
        <v>2018</v>
      </c>
      <c r="AF4" s="240">
        <v>2019</v>
      </c>
    </row>
    <row r="6" spans="1:32" s="122" customFormat="1" x14ac:dyDescent="0.2">
      <c r="A6" s="12" t="s">
        <v>280</v>
      </c>
      <c r="B6" s="3"/>
      <c r="C6" s="3"/>
      <c r="D6" s="3"/>
      <c r="E6" s="3"/>
      <c r="F6" s="3"/>
      <c r="G6" s="3"/>
      <c r="H6" s="3"/>
      <c r="I6" s="3"/>
      <c r="J6" s="3"/>
      <c r="K6" s="3"/>
      <c r="L6" s="3"/>
      <c r="M6" s="3"/>
      <c r="N6" s="3"/>
      <c r="O6" s="3"/>
      <c r="P6" s="3"/>
      <c r="AB6" s="352"/>
      <c r="AC6" s="79"/>
      <c r="AD6" s="79"/>
      <c r="AE6" s="79"/>
      <c r="AF6" s="241"/>
    </row>
    <row r="7" spans="1:32" s="122" customFormat="1" x14ac:dyDescent="0.2">
      <c r="A7" s="3"/>
      <c r="B7" s="3"/>
      <c r="C7" s="3"/>
      <c r="D7" s="3"/>
      <c r="E7" s="3"/>
      <c r="F7" s="3"/>
      <c r="G7" s="3"/>
      <c r="H7" s="3"/>
      <c r="I7" s="3"/>
      <c r="J7" s="3"/>
      <c r="K7" s="3"/>
      <c r="L7" s="3"/>
      <c r="M7" s="3"/>
      <c r="N7" s="3"/>
      <c r="O7" s="3"/>
      <c r="P7" s="3"/>
      <c r="AB7" s="352"/>
      <c r="AC7" s="79"/>
      <c r="AD7" s="79"/>
      <c r="AE7" s="79"/>
      <c r="AF7" s="241"/>
    </row>
    <row r="8" spans="1:32" s="122" customFormat="1" x14ac:dyDescent="0.2">
      <c r="A8" s="3" t="s">
        <v>197</v>
      </c>
      <c r="B8" s="3" t="s">
        <v>281</v>
      </c>
      <c r="C8" s="3">
        <f>liability!C8</f>
        <v>12195.5</v>
      </c>
      <c r="D8" s="3">
        <f>liability!D8</f>
        <v>13739.5</v>
      </c>
      <c r="E8" s="3">
        <f>liability!E8</f>
        <v>15390.5</v>
      </c>
      <c r="F8" s="3">
        <f>liability!F8</f>
        <v>16999</v>
      </c>
      <c r="G8" s="3">
        <f>liability!G8</f>
        <v>18424</v>
      </c>
      <c r="H8" s="3">
        <f>liability!H8</f>
        <v>19503.5</v>
      </c>
      <c r="I8" s="3">
        <f>liability!I8</f>
        <v>20916.5</v>
      </c>
      <c r="J8" s="3">
        <f>liability!J8</f>
        <v>23235</v>
      </c>
      <c r="K8" s="3">
        <f>liability!K8+'RCA liab'!F8</f>
        <v>24460.5</v>
      </c>
      <c r="L8" s="3">
        <f>liability!L8+'RCA liab'!G8</f>
        <v>25292.5</v>
      </c>
      <c r="M8" s="3">
        <f>liability!M8+'RCA liab'!H8</f>
        <v>27696.5</v>
      </c>
      <c r="N8" s="3">
        <f>liability!N8+'RCA liab'!I8</f>
        <v>32365</v>
      </c>
      <c r="O8" s="3">
        <f>liability!O8+'RCA liab'!J8</f>
        <v>33897</v>
      </c>
      <c r="P8" s="3">
        <f>liability!P8+'RCA liab'!K8</f>
        <v>35583.5</v>
      </c>
      <c r="Q8" s="122">
        <f>liability!Q8+'RCA liab'!L8</f>
        <v>37139</v>
      </c>
      <c r="R8" s="122">
        <f>liability!R8+'RCA liab'!M8</f>
        <v>40269.5</v>
      </c>
      <c r="S8" s="122">
        <f>liability!S8+'RCA liab'!N8</f>
        <v>41664</v>
      </c>
      <c r="T8" s="122">
        <f>liability!T8+'RCA liab'!O8</f>
        <v>44300.5</v>
      </c>
      <c r="U8" s="122">
        <f>liability!U8+'RCA liab'!P8</f>
        <v>46124.5</v>
      </c>
      <c r="V8" s="227">
        <f>liability!V8+'RCA liab'!Q8</f>
        <v>48452</v>
      </c>
      <c r="W8" s="122">
        <f>liability!W8+'RCA liab'!R8</f>
        <v>49750.5</v>
      </c>
      <c r="X8" s="122">
        <f>liability!X8+'RCA liab'!S8</f>
        <v>52042.5</v>
      </c>
      <c r="Y8" s="122">
        <f>liability!Y8+'RCA liab'!T8</f>
        <v>53167</v>
      </c>
      <c r="Z8" s="122">
        <f>liability!Z8+'RCA liab'!U8</f>
        <v>54934</v>
      </c>
      <c r="AA8" s="122">
        <f>liability!AA8+'RCA liab'!V8</f>
        <v>57065.5</v>
      </c>
      <c r="AB8" s="352">
        <f>liability!AB8+'RCA liab'!W8</f>
        <v>58338</v>
      </c>
      <c r="AC8" s="79">
        <f>liability!AC8+'RCA liab'!X8</f>
        <v>60600.578869909761</v>
      </c>
      <c r="AD8" s="79">
        <f>liability!AD8+'RCA liab'!Y8</f>
        <v>62992.772937482718</v>
      </c>
      <c r="AE8" s="79">
        <f>liability!AE8+'RCA liab'!Z8</f>
        <v>65518.388075468276</v>
      </c>
      <c r="AF8" s="241">
        <f>liability!AF8+'RCA liab'!AA8</f>
        <v>68189.741449586654</v>
      </c>
    </row>
    <row r="9" spans="1:32" s="122" customFormat="1" x14ac:dyDescent="0.2">
      <c r="A9" s="3" t="s">
        <v>206</v>
      </c>
      <c r="B9" s="3" t="s">
        <v>282</v>
      </c>
      <c r="C9" s="3">
        <f>liability!C9</f>
        <v>0</v>
      </c>
      <c r="D9" s="3">
        <f>liability!D9</f>
        <v>0</v>
      </c>
      <c r="E9" s="3">
        <f>liability!E9</f>
        <v>0</v>
      </c>
      <c r="F9" s="3">
        <f>liability!F9</f>
        <v>0</v>
      </c>
      <c r="G9" s="3">
        <f>liability!G9</f>
        <v>0</v>
      </c>
      <c r="H9" s="3">
        <f>liability!H9</f>
        <v>0</v>
      </c>
      <c r="I9" s="3">
        <f>liability!I9</f>
        <v>250</v>
      </c>
      <c r="J9" s="3">
        <f>liability!J9</f>
        <v>0</v>
      </c>
      <c r="K9" s="3">
        <f>liability!K9</f>
        <v>0</v>
      </c>
      <c r="L9" s="3">
        <f>liability!L9</f>
        <v>0</v>
      </c>
      <c r="M9" s="3">
        <f>liability!M9</f>
        <v>0</v>
      </c>
      <c r="N9" s="3">
        <f>liability!N9</f>
        <v>0</v>
      </c>
      <c r="O9" s="3">
        <f>liability!O9</f>
        <v>0</v>
      </c>
      <c r="P9" s="3">
        <f>liability!P9</f>
        <v>0</v>
      </c>
      <c r="Q9" s="122">
        <f>liability!Q9</f>
        <v>0</v>
      </c>
      <c r="R9" s="122">
        <f>liability!R9</f>
        <v>0</v>
      </c>
      <c r="S9" s="122">
        <f>liability!S9</f>
        <v>0</v>
      </c>
      <c r="T9" s="122">
        <f>liability!T9</f>
        <v>0</v>
      </c>
      <c r="U9" s="122">
        <f>liability!U9</f>
        <v>0</v>
      </c>
      <c r="V9" s="227">
        <f>liability!V9</f>
        <v>0</v>
      </c>
      <c r="W9" s="122">
        <f>liability!W9</f>
        <v>0</v>
      </c>
      <c r="X9" s="122">
        <f>liability!X9</f>
        <v>0</v>
      </c>
      <c r="Y9" s="122">
        <f>liability!Y9</f>
        <v>0</v>
      </c>
      <c r="Z9" s="122">
        <f>liability!Z9</f>
        <v>0</v>
      </c>
      <c r="AA9" s="122">
        <f>liability!AA9</f>
        <v>0</v>
      </c>
      <c r="AB9" s="352">
        <f>liability!AB9</f>
        <v>0</v>
      </c>
      <c r="AC9" s="79">
        <f>liability!AC9</f>
        <v>0</v>
      </c>
      <c r="AD9" s="79">
        <f>liability!AD9</f>
        <v>0</v>
      </c>
      <c r="AE9" s="79">
        <f>liability!AE9</f>
        <v>0</v>
      </c>
      <c r="AF9" s="241">
        <f>liability!AF9</f>
        <v>0</v>
      </c>
    </row>
    <row r="10" spans="1:32" s="122" customFormat="1" x14ac:dyDescent="0.2">
      <c r="A10" s="3" t="s">
        <v>284</v>
      </c>
      <c r="B10" s="3" t="s">
        <v>286</v>
      </c>
      <c r="C10" s="3"/>
      <c r="D10" s="3"/>
      <c r="E10" s="3"/>
      <c r="F10" s="3"/>
      <c r="G10" s="3"/>
      <c r="H10" s="3"/>
      <c r="I10" s="3"/>
      <c r="J10" s="3">
        <f>'RCA liab'!$E$11</f>
        <v>220.58374999999998</v>
      </c>
      <c r="K10" s="3"/>
      <c r="L10" s="3"/>
      <c r="M10" s="3"/>
      <c r="N10" s="3"/>
      <c r="O10" s="3"/>
      <c r="P10" s="3"/>
      <c r="V10" s="227"/>
      <c r="AB10" s="352"/>
      <c r="AC10" s="79"/>
      <c r="AD10" s="79"/>
      <c r="AE10" s="79"/>
      <c r="AF10" s="241"/>
    </row>
    <row r="11" spans="1:32" s="122" customFormat="1" x14ac:dyDescent="0.2">
      <c r="A11" s="3" t="s">
        <v>198</v>
      </c>
      <c r="B11" s="3" t="s">
        <v>281</v>
      </c>
      <c r="C11" s="3">
        <f>liability!C10</f>
        <v>-10062</v>
      </c>
      <c r="D11" s="3">
        <f>liability!D10</f>
        <v>-12348.5</v>
      </c>
      <c r="E11" s="3">
        <f>liability!E10</f>
        <v>-13886.5</v>
      </c>
      <c r="F11" s="3">
        <f>liability!F10</f>
        <v>-16855.5</v>
      </c>
      <c r="G11" s="3">
        <f>liability!G10</f>
        <v>-17121</v>
      </c>
      <c r="H11" s="3">
        <f>liability!H10</f>
        <v>-19046</v>
      </c>
      <c r="I11" s="3">
        <f>liability!I10</f>
        <v>-21506.5</v>
      </c>
      <c r="J11" s="3">
        <f>liability!J10</f>
        <v>-24450.5</v>
      </c>
      <c r="K11" s="3">
        <f>liability!K10+'RCA liab'!F9</f>
        <v>-27191.5</v>
      </c>
      <c r="L11" s="3">
        <f>liability!L10+'RCA liab'!G9</f>
        <v>-30520</v>
      </c>
      <c r="M11" s="3">
        <f>liability!M10+'RCA liab'!H9</f>
        <v>-34391</v>
      </c>
      <c r="N11" s="3">
        <f>liability!N10+'RCA liab'!I9</f>
        <v>-36215.5</v>
      </c>
      <c r="O11" s="3">
        <f>liability!O10+'RCA liab'!J9</f>
        <v>-37929.574500000002</v>
      </c>
      <c r="P11" s="3">
        <f>liability!P10+'RCA liab'!K9</f>
        <v>-39581.111499999999</v>
      </c>
      <c r="Q11" s="122">
        <f>liability!Q10+'RCA liab'!L9</f>
        <v>-41399.464</v>
      </c>
      <c r="R11" s="122">
        <f>liability!R10+'RCA liab'!M9</f>
        <v>-44351.792999999998</v>
      </c>
      <c r="S11" s="122">
        <f>liability!S10+'RCA liab'!N9</f>
        <v>-47430.243000000002</v>
      </c>
      <c r="T11" s="122">
        <f>liability!T10+'RCA liab'!O9</f>
        <v>-52463.788500000002</v>
      </c>
      <c r="U11" s="122">
        <f>liability!U10+'RCA liab'!P9</f>
        <v>-53485.36</v>
      </c>
      <c r="V11" s="227">
        <f>liability!V10+'RCA liab'!Q9</f>
        <v>-54562.862500000003</v>
      </c>
      <c r="W11" s="122">
        <f>liability!W10+'RCA liab'!R9</f>
        <v>-57130.684500000003</v>
      </c>
      <c r="X11" s="122">
        <f>liability!X10+'RCA liab'!S9</f>
        <v>-57850.2785</v>
      </c>
      <c r="Y11" s="122">
        <f>liability!Y10+'RCA liab'!T9</f>
        <v>-59940.584000000003</v>
      </c>
      <c r="Z11" s="122">
        <f>liability!Z10+'RCA liab'!U9</f>
        <v>-65445.682500000003</v>
      </c>
      <c r="AA11" s="122">
        <f>liability!AA10+'RCA liab'!V9</f>
        <v>-71551.051000000007</v>
      </c>
      <c r="AB11" s="352">
        <f>liability!AB10+'RCA liab'!W9</f>
        <v>-78501.562999999995</v>
      </c>
      <c r="AC11" s="79">
        <f>liability!AC10+'RCA liab'!X9</f>
        <v>-85415.242688564147</v>
      </c>
      <c r="AD11" s="79">
        <f>liability!AD10+'RCA liab'!Y9</f>
        <v>-91878.668161446098</v>
      </c>
      <c r="AE11" s="79">
        <f>liability!AE10+'RCA liab'!Z9</f>
        <v>-98081.557530280363</v>
      </c>
      <c r="AF11" s="241">
        <f>liability!AF10+'RCA liab'!AA9</f>
        <v>-103860.52592315835</v>
      </c>
    </row>
    <row r="12" spans="1:32" s="122" customFormat="1" x14ac:dyDescent="0.2">
      <c r="A12" s="3" t="s">
        <v>391</v>
      </c>
      <c r="B12" s="3" t="s">
        <v>281</v>
      </c>
      <c r="C12" s="3">
        <f>liability!C11</f>
        <v>0</v>
      </c>
      <c r="D12" s="3">
        <f>liability!D11</f>
        <v>721.71500000000015</v>
      </c>
      <c r="E12" s="3">
        <f>liability!E11</f>
        <v>343.21125000000029</v>
      </c>
      <c r="F12" s="3">
        <f>liability!F11</f>
        <v>1586.2581249999985</v>
      </c>
      <c r="G12" s="3">
        <f>liability!G11</f>
        <v>746.65187499999774</v>
      </c>
      <c r="H12" s="3">
        <f>liability!H11</f>
        <v>1618.3456249999999</v>
      </c>
      <c r="I12" s="3">
        <f>liability!I11</f>
        <v>2252.1831250000014</v>
      </c>
      <c r="J12" s="3">
        <f>liability!J11</f>
        <v>2676.4274999999998</v>
      </c>
      <c r="K12" s="3">
        <f>liability!K11+'RCA liab'!F10</f>
        <v>3815.9006250000007</v>
      </c>
      <c r="L12" s="3">
        <f>liability!L11+'RCA liab'!G10</f>
        <v>5592.5537499999973</v>
      </c>
      <c r="M12" s="3">
        <f>liability!M11+'RCA liab'!H10</f>
        <v>6153.217499999997</v>
      </c>
      <c r="N12" s="3">
        <f>liability!N11+'RCA liab'!I10</f>
        <v>2823.5169999999962</v>
      </c>
      <c r="O12" s="3">
        <f>liability!O11+'RCA liab'!J10</f>
        <v>2678.831898749997</v>
      </c>
      <c r="P12" s="3">
        <f>liability!P11+'RCA liab'!K10</f>
        <v>2296.2518987499952</v>
      </c>
      <c r="Q12" s="122">
        <f>liability!Q11+'RCA liab'!L10</f>
        <v>2184.6393987499923</v>
      </c>
      <c r="R12" s="122">
        <f>liability!R11+'RCA liab'!M10</f>
        <v>1648.4143987499938</v>
      </c>
      <c r="S12" s="122">
        <f>liability!S11+'RCA liab'!N10</f>
        <v>3008.1893987499952</v>
      </c>
      <c r="T12" s="122">
        <f>liability!T11+'RCA liab'!O10</f>
        <v>4648.5150237499929</v>
      </c>
      <c r="U12" s="122">
        <f>liability!U11+'RCA liab'!P10</f>
        <v>2703.1025237499944</v>
      </c>
      <c r="V12" s="227">
        <f>liability!V11+'RCA liab'!Q10</f>
        <v>315.45439874999471</v>
      </c>
      <c r="W12" s="122">
        <f>liability!W11+'RCA liab'!R10</f>
        <v>763.58207546427911</v>
      </c>
      <c r="X12" s="122">
        <f>liability!X11+'RCA liab'!S10</f>
        <v>-1660.329549035725</v>
      </c>
      <c r="Y12" s="122">
        <f>liability!Y11+'RCA liab'!T10</f>
        <v>-1243.414934524566</v>
      </c>
      <c r="Z12" s="122">
        <f>liability!Z11+'RCA liab'!U10</f>
        <v>1861.7704339754291</v>
      </c>
      <c r="AA12" s="122">
        <f>liability!AA11+'RCA liab'!V10</f>
        <v>4827.6877089754362</v>
      </c>
      <c r="AB12" s="352">
        <f>liability!AB11+'RCA liab'!W10</f>
        <v>9002.3937104754477</v>
      </c>
      <c r="AC12" s="79">
        <f>liability!AC11+'RCA liab'!X10</f>
        <v>11520.888852744069</v>
      </c>
      <c r="AD12" s="79">
        <f>liability!AD11+'RCA liab'!Y10</f>
        <v>13025.136657052146</v>
      </c>
      <c r="AE12" s="79">
        <f>liability!AE11+'RCA liab'!Z10</f>
        <v>13785.117782937257</v>
      </c>
      <c r="AF12" s="241">
        <f>liability!AF11+'RCA liab'!AA10</f>
        <v>13671.985923949494</v>
      </c>
    </row>
    <row r="13" spans="1:32" s="122" customFormat="1" x14ac:dyDescent="0.2">
      <c r="A13" s="3" t="s">
        <v>203</v>
      </c>
      <c r="B13" s="3" t="s">
        <v>282</v>
      </c>
      <c r="C13" s="3">
        <f>liability!C12</f>
        <v>446.5</v>
      </c>
      <c r="D13" s="3">
        <f>liability!D12</f>
        <v>472.31750000000011</v>
      </c>
      <c r="E13" s="3">
        <f>liability!E12</f>
        <v>590.31750000000011</v>
      </c>
      <c r="F13" s="3">
        <f>liability!F12</f>
        <v>721.31750000000011</v>
      </c>
      <c r="G13" s="3">
        <f>liability!G12</f>
        <v>404.81750000000193</v>
      </c>
      <c r="H13" s="3">
        <f>liability!H12</f>
        <v>401.31750000000284</v>
      </c>
      <c r="I13" s="3">
        <f>liability!I12</f>
        <v>351.31750000000056</v>
      </c>
      <c r="J13" s="3">
        <f>liability!J12</f>
        <v>338.31749999999943</v>
      </c>
      <c r="K13" s="3">
        <f>liability!K12</f>
        <v>351.81750000000102</v>
      </c>
      <c r="L13" s="3">
        <f>liability!L12</f>
        <v>410.31750000000011</v>
      </c>
      <c r="M13" s="3">
        <f>liability!M12</f>
        <v>421.31750000000306</v>
      </c>
      <c r="N13" s="3">
        <f>liability!N12</f>
        <v>435.80031500000382</v>
      </c>
      <c r="O13" s="3">
        <f>liability!O12</f>
        <v>449.1789020000042</v>
      </c>
      <c r="P13" s="3">
        <f>liability!P12</f>
        <v>472.2073145000038</v>
      </c>
      <c r="Q13" s="122">
        <f>liability!Q12</f>
        <v>497.13549750000516</v>
      </c>
      <c r="R13" s="122">
        <f>liability!R12</f>
        <v>522.53073100000802</v>
      </c>
      <c r="S13" s="122">
        <f>liability!S12</f>
        <v>529.45758061765332</v>
      </c>
      <c r="T13" s="122">
        <f>liability!T12</f>
        <v>649.83554023529905</v>
      </c>
      <c r="U13" s="122">
        <f>liability!U12</f>
        <v>687.3208343529484</v>
      </c>
      <c r="V13" s="227">
        <f>liability!V12</f>
        <v>763.52104947059343</v>
      </c>
      <c r="W13" s="122">
        <f>liability!W12</f>
        <v>773.87541058824002</v>
      </c>
      <c r="X13" s="122">
        <f>liability!X12</f>
        <v>799.45422620588795</v>
      </c>
      <c r="Y13" s="122">
        <f>liability!Y12</f>
        <v>825.91103732353861</v>
      </c>
      <c r="Z13" s="122">
        <f>liability!Z12</f>
        <v>853.01835694118824</v>
      </c>
      <c r="AA13" s="122">
        <f>liability!AA12</f>
        <v>881.60331555883761</v>
      </c>
      <c r="AB13" s="352">
        <f>liability!AB12</f>
        <v>895.46956602647913</v>
      </c>
      <c r="AC13" s="79">
        <f>liability!AC12</f>
        <v>910.37871949425119</v>
      </c>
      <c r="AD13" s="79">
        <f>liability!AD12</f>
        <v>924.64029045566429</v>
      </c>
      <c r="AE13" s="79">
        <f>liability!AE12</f>
        <v>938.31987110463797</v>
      </c>
      <c r="AF13" s="241">
        <f>liability!AF12</f>
        <v>951.39729337327958</v>
      </c>
    </row>
    <row r="14" spans="1:32" s="122" customFormat="1" x14ac:dyDescent="0.2">
      <c r="A14" s="3" t="s">
        <v>199</v>
      </c>
      <c r="B14" s="3" t="s">
        <v>282</v>
      </c>
      <c r="C14" s="55" t="str">
        <f>liability!C14</f>
        <v>n/a</v>
      </c>
      <c r="D14" s="55" t="str">
        <f>liability!D14</f>
        <v>n/a</v>
      </c>
      <c r="E14" s="55" t="str">
        <f>liability!E14</f>
        <v>n/a</v>
      </c>
      <c r="F14" s="55" t="str">
        <f>liability!F14</f>
        <v>n/a</v>
      </c>
      <c r="G14" s="55">
        <f>liability!G14</f>
        <v>35</v>
      </c>
      <c r="H14" s="55">
        <f>liability!H14</f>
        <v>39.5</v>
      </c>
      <c r="I14" s="55">
        <f>liability!I14</f>
        <v>30.5</v>
      </c>
      <c r="J14" s="55">
        <f>liability!J14</f>
        <v>34</v>
      </c>
      <c r="K14" s="55">
        <f>liability!K14</f>
        <v>26.5</v>
      </c>
      <c r="L14" s="55">
        <f>liability!L14</f>
        <v>22</v>
      </c>
      <c r="M14" s="55">
        <f>liability!M14</f>
        <v>20.5</v>
      </c>
      <c r="N14" s="55">
        <f>liability!N14</f>
        <v>22</v>
      </c>
      <c r="O14" s="55">
        <f>liability!O14</f>
        <v>27</v>
      </c>
      <c r="P14" s="55">
        <f>liability!P14</f>
        <v>21.5</v>
      </c>
      <c r="Q14" s="145">
        <f>liability!Q14</f>
        <v>20</v>
      </c>
      <c r="R14" s="145">
        <f>liability!R14</f>
        <v>18</v>
      </c>
      <c r="S14" s="145">
        <f>liability!S14</f>
        <v>17</v>
      </c>
      <c r="T14" s="145">
        <f>liability!T14</f>
        <v>15.5</v>
      </c>
      <c r="U14" s="145">
        <f>liability!U14</f>
        <v>23.5</v>
      </c>
      <c r="V14" s="228">
        <f>liability!V14</f>
        <v>28.990893499999999</v>
      </c>
      <c r="W14" s="145">
        <f>liability!W14</f>
        <v>29.2927505</v>
      </c>
      <c r="X14" s="145">
        <f>liability!X14</f>
        <v>19.860441999999999</v>
      </c>
      <c r="Y14" s="145">
        <f>liability!Y14</f>
        <v>19.6341185</v>
      </c>
      <c r="Z14" s="145">
        <f>liability!Z14</f>
        <v>18.951650000000001</v>
      </c>
      <c r="AA14" s="145">
        <f>liability!AA14</f>
        <v>18.367251499999998</v>
      </c>
      <c r="AB14" s="381">
        <f>liability!AB14</f>
        <v>19</v>
      </c>
      <c r="AC14" s="101">
        <f>liability!AC14</f>
        <v>21.682182705882354</v>
      </c>
      <c r="AD14" s="101">
        <f>liability!AD14</f>
        <v>21.682182705882354</v>
      </c>
      <c r="AE14" s="101">
        <f>liability!AE14</f>
        <v>21.682182705882354</v>
      </c>
      <c r="AF14" s="278">
        <f>liability!AF14</f>
        <v>21.682182705882354</v>
      </c>
    </row>
    <row r="15" spans="1:32" s="122" customFormat="1" x14ac:dyDescent="0.2">
      <c r="A15" s="3" t="s">
        <v>248</v>
      </c>
      <c r="B15" s="3" t="s">
        <v>282</v>
      </c>
      <c r="C15" s="3">
        <f>liability!C15</f>
        <v>0</v>
      </c>
      <c r="D15" s="3">
        <f>liability!D15</f>
        <v>0</v>
      </c>
      <c r="E15" s="3">
        <f>liability!E15</f>
        <v>0</v>
      </c>
      <c r="F15" s="3">
        <f>liability!F15</f>
        <v>2264</v>
      </c>
      <c r="G15" s="3">
        <f>liability!G15</f>
        <v>2090</v>
      </c>
      <c r="H15" s="3">
        <f>liability!H15</f>
        <v>1916</v>
      </c>
      <c r="I15" s="3">
        <f>liability!I15</f>
        <v>1742</v>
      </c>
      <c r="J15" s="3">
        <f>liability!J15</f>
        <v>1568</v>
      </c>
      <c r="K15" s="3">
        <f>liability!K15</f>
        <v>1394</v>
      </c>
      <c r="L15" s="3">
        <f>liability!L15</f>
        <v>1220</v>
      </c>
      <c r="M15" s="3">
        <f>liability!M15</f>
        <v>1046</v>
      </c>
      <c r="N15" s="3">
        <f>liability!N15</f>
        <v>871</v>
      </c>
      <c r="O15" s="3">
        <f>liability!O15</f>
        <v>698</v>
      </c>
      <c r="P15" s="3">
        <f>liability!P15</f>
        <v>524</v>
      </c>
      <c r="Q15" s="122">
        <f>liability!Q15</f>
        <v>350</v>
      </c>
      <c r="R15" s="122">
        <f>liability!R15</f>
        <v>176</v>
      </c>
      <c r="S15" s="122">
        <f>liability!S15</f>
        <v>0</v>
      </c>
      <c r="T15" s="122">
        <f>liability!T15</f>
        <v>0</v>
      </c>
      <c r="U15" s="122">
        <f>liability!U15</f>
        <v>0</v>
      </c>
      <c r="V15" s="227">
        <f>liability!V15</f>
        <v>0</v>
      </c>
      <c r="W15" s="122">
        <f>liability!W15</f>
        <v>0</v>
      </c>
      <c r="X15" s="122">
        <f>liability!X15</f>
        <v>0</v>
      </c>
      <c r="Y15" s="122">
        <f>liability!Y15</f>
        <v>0</v>
      </c>
      <c r="Z15" s="122">
        <f>liability!Z15</f>
        <v>0</v>
      </c>
      <c r="AA15" s="122">
        <f>liability!AA15</f>
        <v>0</v>
      </c>
      <c r="AB15" s="352">
        <f>liability!AB15</f>
        <v>0</v>
      </c>
      <c r="AC15" s="79">
        <f>liability!AC15</f>
        <v>0</v>
      </c>
      <c r="AD15" s="79">
        <f>liability!AD15</f>
        <v>0</v>
      </c>
      <c r="AE15" s="79">
        <f>liability!AE15</f>
        <v>0</v>
      </c>
      <c r="AF15" s="241">
        <f>liability!AF15</f>
        <v>0</v>
      </c>
    </row>
    <row r="16" spans="1:32" s="122" customFormat="1" x14ac:dyDescent="0.2">
      <c r="A16" s="3" t="s">
        <v>249</v>
      </c>
      <c r="B16" s="3" t="s">
        <v>282</v>
      </c>
      <c r="C16" s="24" t="str">
        <f>liability!C16</f>
        <v>n/a</v>
      </c>
      <c r="D16" s="24" t="str">
        <f>liability!D16</f>
        <v>n/a</v>
      </c>
      <c r="E16" s="24" t="str">
        <f>liability!E16</f>
        <v>n/a</v>
      </c>
      <c r="F16" s="24">
        <f>liability!F16</f>
        <v>118.5</v>
      </c>
      <c r="G16" s="24">
        <f>liability!G16</f>
        <v>179</v>
      </c>
      <c r="H16" s="24">
        <f>liability!H16</f>
        <v>136</v>
      </c>
      <c r="I16" s="24">
        <f>liability!I16</f>
        <v>-18.5</v>
      </c>
      <c r="J16" s="24">
        <f>liability!J16</f>
        <v>-271.5</v>
      </c>
      <c r="K16" s="24">
        <f>liability!K16</f>
        <v>-479.5</v>
      </c>
      <c r="L16" s="24">
        <f>liability!L16</f>
        <v>-459.5</v>
      </c>
      <c r="M16" s="24">
        <f>liability!M16</f>
        <v>-425</v>
      </c>
      <c r="N16" s="24">
        <f>liability!N16</f>
        <v>-385.51718499999993</v>
      </c>
      <c r="O16" s="24">
        <f>liability!O16</f>
        <v>-342.138598</v>
      </c>
      <c r="P16" s="24">
        <f>liability!P16</f>
        <v>-289.1101855</v>
      </c>
      <c r="Q16" s="132">
        <f>liability!Q16</f>
        <v>-234.68200250000001</v>
      </c>
      <c r="R16" s="132">
        <f>liability!R16</f>
        <v>-173.78676899999999</v>
      </c>
      <c r="S16" s="132">
        <f>liability!S16</f>
        <v>-130.8452135</v>
      </c>
      <c r="T16" s="132">
        <f>liability!T16</f>
        <v>38.547452000000021</v>
      </c>
      <c r="U16" s="132">
        <f>liability!U16</f>
        <v>112.54745200000002</v>
      </c>
      <c r="V16" s="229">
        <f>liability!V16</f>
        <v>177.26237300000003</v>
      </c>
      <c r="W16" s="132">
        <f>liability!W16</f>
        <v>190.22886857142856</v>
      </c>
      <c r="X16" s="132">
        <f>liability!X16</f>
        <v>201.82239007142852</v>
      </c>
      <c r="Y16" s="132">
        <f>liability!Y16</f>
        <v>222.15202314285705</v>
      </c>
      <c r="Z16" s="132">
        <f>liability!Z16</f>
        <v>238.274048642857</v>
      </c>
      <c r="AA16" s="132">
        <f>liability!AA16</f>
        <v>255.87371314285701</v>
      </c>
      <c r="AB16" s="357">
        <f>liability!AB16</f>
        <v>254.25466949285703</v>
      </c>
      <c r="AC16" s="86">
        <f>liability!AC16</f>
        <v>247.6068075315182</v>
      </c>
      <c r="AD16" s="86">
        <f>liability!AD16</f>
        <v>241.74880494170486</v>
      </c>
      <c r="AE16" s="86">
        <f>liability!AE16</f>
        <v>234.62797737593644</v>
      </c>
      <c r="AF16" s="248">
        <f>liability!AF16</f>
        <v>227.2356006387343</v>
      </c>
    </row>
    <row r="17" spans="1:32" s="216" customFormat="1" ht="15.75" x14ac:dyDescent="0.25">
      <c r="A17" s="52" t="s">
        <v>205</v>
      </c>
      <c r="B17" s="9" t="s">
        <v>241</v>
      </c>
      <c r="C17" s="56">
        <f t="shared" ref="C17:Q17" si="0">SUM(C8:C16)</f>
        <v>2580</v>
      </c>
      <c r="D17" s="56">
        <f t="shared" si="0"/>
        <v>2585.0325000000003</v>
      </c>
      <c r="E17" s="56">
        <f t="shared" si="0"/>
        <v>2437.5287500000004</v>
      </c>
      <c r="F17" s="56">
        <f t="shared" si="0"/>
        <v>4833.5756249999986</v>
      </c>
      <c r="G17" s="56">
        <f t="shared" si="0"/>
        <v>4758.4693749999997</v>
      </c>
      <c r="H17" s="56">
        <f t="shared" si="0"/>
        <v>4568.6631250000028</v>
      </c>
      <c r="I17" s="56">
        <f t="shared" si="0"/>
        <v>4017.5006250000019</v>
      </c>
      <c r="J17" s="56">
        <f t="shared" si="0"/>
        <v>3350.3287500000006</v>
      </c>
      <c r="K17" s="56">
        <f t="shared" si="0"/>
        <v>2377.7181250000017</v>
      </c>
      <c r="L17" s="56">
        <f t="shared" si="0"/>
        <v>1557.8712499999974</v>
      </c>
      <c r="M17" s="56">
        <f t="shared" si="0"/>
        <v>521.53500000000008</v>
      </c>
      <c r="N17" s="56">
        <f t="shared" si="0"/>
        <v>-83.699869999999919</v>
      </c>
      <c r="O17" s="56">
        <f t="shared" si="0"/>
        <v>-521.70229725000127</v>
      </c>
      <c r="P17" s="56">
        <f t="shared" si="0"/>
        <v>-972.76247224999997</v>
      </c>
      <c r="Q17" s="146">
        <f t="shared" si="0"/>
        <v>-1443.3711062500024</v>
      </c>
      <c r="R17" s="146">
        <f t="shared" ref="R17:AD17" si="1">SUM(R8:R16)</f>
        <v>-1891.1346392499961</v>
      </c>
      <c r="S17" s="146">
        <f t="shared" si="1"/>
        <v>-2342.4412341323532</v>
      </c>
      <c r="T17" s="146">
        <f t="shared" si="1"/>
        <v>-2810.8904840147106</v>
      </c>
      <c r="U17" s="146">
        <f t="shared" si="1"/>
        <v>-3834.3891898970578</v>
      </c>
      <c r="V17" s="146">
        <f t="shared" si="1"/>
        <v>-4825.633785279415</v>
      </c>
      <c r="W17" s="146">
        <f t="shared" si="1"/>
        <v>-5623.2053948760558</v>
      </c>
      <c r="X17" s="146">
        <f>SUM(X8:X16)</f>
        <v>-6446.9709907584092</v>
      </c>
      <c r="Y17" s="146">
        <f t="shared" si="1"/>
        <v>-6949.3017555581728</v>
      </c>
      <c r="Z17" s="146">
        <f t="shared" si="1"/>
        <v>-7539.6680104405277</v>
      </c>
      <c r="AA17" s="146">
        <f t="shared" si="1"/>
        <v>-8502.0190108228762</v>
      </c>
      <c r="AB17" s="382">
        <f t="shared" si="1"/>
        <v>-9992.4450540052112</v>
      </c>
      <c r="AC17" s="102">
        <f t="shared" si="1"/>
        <v>-12114.107256178666</v>
      </c>
      <c r="AD17" s="102">
        <f t="shared" si="1"/>
        <v>-14672.687288807983</v>
      </c>
      <c r="AE17" s="102">
        <f t="shared" ref="AE17:AF17" si="2">SUM(AE8:AE16)</f>
        <v>-17583.421640688372</v>
      </c>
      <c r="AF17" s="279">
        <f t="shared" si="2"/>
        <v>-20798.483472904303</v>
      </c>
    </row>
    <row r="18" spans="1:32" s="216" customFormat="1" ht="15.75" x14ac:dyDescent="0.25">
      <c r="A18" s="52"/>
      <c r="B18" s="9"/>
      <c r="C18" s="71"/>
      <c r="D18" s="71"/>
      <c r="E18" s="71"/>
      <c r="F18" s="71"/>
      <c r="G18" s="71"/>
      <c r="H18" s="71"/>
      <c r="I18" s="71"/>
      <c r="J18" s="71"/>
      <c r="K18" s="71"/>
      <c r="L18" s="71"/>
      <c r="M18" s="71"/>
      <c r="N18" s="71"/>
      <c r="O18" s="71"/>
      <c r="P18" s="71"/>
      <c r="Q18" s="155"/>
      <c r="R18" s="157">
        <f t="shared" ref="R18:AD18" si="3">R17*1000000</f>
        <v>-1891134639.2499962</v>
      </c>
      <c r="S18" s="157">
        <f t="shared" si="3"/>
        <v>-2342441234.1323533</v>
      </c>
      <c r="T18" s="157">
        <f t="shared" si="3"/>
        <v>-2810890484.0147104</v>
      </c>
      <c r="U18" s="157">
        <f t="shared" si="3"/>
        <v>-3834389189.897058</v>
      </c>
      <c r="V18" s="157">
        <f t="shared" si="3"/>
        <v>-4825633785.2794151</v>
      </c>
      <c r="W18" s="157">
        <f t="shared" si="3"/>
        <v>-5623205394.8760557</v>
      </c>
      <c r="X18" s="155">
        <f t="shared" si="3"/>
        <v>-6446970990.7584095</v>
      </c>
      <c r="Y18" s="155">
        <f t="shared" si="3"/>
        <v>-6949301755.5581732</v>
      </c>
      <c r="Z18" s="388">
        <f t="shared" si="3"/>
        <v>-7539668010.4405279</v>
      </c>
      <c r="AA18" s="388">
        <f t="shared" si="3"/>
        <v>-8502019010.822876</v>
      </c>
      <c r="AB18" s="568">
        <f t="shared" si="3"/>
        <v>-9992445054.0052109</v>
      </c>
      <c r="AC18" s="322">
        <f t="shared" si="3"/>
        <v>-12114107256.178665</v>
      </c>
      <c r="AD18" s="322">
        <f t="shared" si="3"/>
        <v>-14672687288.807983</v>
      </c>
      <c r="AE18" s="322">
        <f t="shared" ref="AE18:AF18" si="4">AE17*1000000</f>
        <v>-17583421640.68837</v>
      </c>
      <c r="AF18" s="322">
        <f t="shared" si="4"/>
        <v>-20798483472.904305</v>
      </c>
    </row>
    <row r="19" spans="1:32" s="147" customFormat="1" x14ac:dyDescent="0.2">
      <c r="A19" s="9"/>
      <c r="B19" s="9"/>
      <c r="C19" s="9"/>
      <c r="D19" s="9"/>
      <c r="E19" s="9"/>
      <c r="F19" s="9"/>
      <c r="G19" s="9"/>
      <c r="H19" s="9"/>
      <c r="I19" s="9"/>
      <c r="J19" s="9"/>
      <c r="K19" s="9"/>
      <c r="L19" s="9"/>
      <c r="M19" s="9"/>
      <c r="N19" s="9"/>
      <c r="O19" s="9"/>
      <c r="P19" s="9"/>
      <c r="AA19" s="304" t="s">
        <v>470</v>
      </c>
      <c r="AB19" s="351">
        <v>-992316327</v>
      </c>
      <c r="AC19" s="103"/>
      <c r="AD19" s="103"/>
      <c r="AE19" s="103"/>
      <c r="AF19" s="267"/>
    </row>
    <row r="20" spans="1:32" s="147" customFormat="1" x14ac:dyDescent="0.2">
      <c r="A20" s="12" t="s">
        <v>255</v>
      </c>
      <c r="B20" s="9"/>
      <c r="C20" s="9"/>
      <c r="D20" s="9"/>
      <c r="E20" s="9"/>
      <c r="F20" s="9"/>
      <c r="G20" s="9"/>
      <c r="H20" s="9"/>
      <c r="I20" s="9"/>
      <c r="J20" s="9"/>
      <c r="K20" s="9"/>
      <c r="L20" s="9"/>
      <c r="M20" s="9"/>
      <c r="N20" s="9"/>
      <c r="O20" s="9"/>
      <c r="P20" s="9"/>
      <c r="AB20" s="351"/>
      <c r="AC20" s="103"/>
      <c r="AD20" s="103"/>
      <c r="AE20" s="103"/>
      <c r="AF20" s="267"/>
    </row>
    <row r="21" spans="1:32" s="147" customFormat="1" x14ac:dyDescent="0.2">
      <c r="A21" s="9" t="s">
        <v>252</v>
      </c>
      <c r="B21" s="9" t="s">
        <v>66</v>
      </c>
      <c r="C21" s="9"/>
      <c r="D21" s="9"/>
      <c r="E21" s="9"/>
      <c r="F21" s="9"/>
      <c r="G21" s="9">
        <f>+F17</f>
        <v>4833.5756249999986</v>
      </c>
      <c r="H21" s="9">
        <f t="shared" ref="H21:Q21" si="5">+G17</f>
        <v>4758.4693749999997</v>
      </c>
      <c r="I21" s="9">
        <f t="shared" si="5"/>
        <v>4568.6631250000028</v>
      </c>
      <c r="J21" s="9">
        <f t="shared" si="5"/>
        <v>4017.5006250000019</v>
      </c>
      <c r="K21" s="9">
        <f t="shared" si="5"/>
        <v>3350.3287500000006</v>
      </c>
      <c r="L21" s="9">
        <f t="shared" si="5"/>
        <v>2377.7181250000017</v>
      </c>
      <c r="M21" s="9">
        <f t="shared" si="5"/>
        <v>1557.8712499999974</v>
      </c>
      <c r="N21" s="9">
        <f t="shared" si="5"/>
        <v>521.53500000000008</v>
      </c>
      <c r="O21" s="9">
        <f t="shared" si="5"/>
        <v>-83.699869999999919</v>
      </c>
      <c r="P21" s="9">
        <f t="shared" si="5"/>
        <v>-521.70229725000127</v>
      </c>
      <c r="Q21" s="147">
        <f t="shared" si="5"/>
        <v>-972.76247224999997</v>
      </c>
      <c r="R21" s="147">
        <f t="shared" ref="R21:AF21" si="6">+Q17</f>
        <v>-1443.3711062500024</v>
      </c>
      <c r="S21" s="147">
        <f t="shared" si="6"/>
        <v>-1891.1346392499961</v>
      </c>
      <c r="T21" s="147">
        <f t="shared" si="6"/>
        <v>-2342.4412341323532</v>
      </c>
      <c r="U21" s="147">
        <f t="shared" si="6"/>
        <v>-2810.8904840147106</v>
      </c>
      <c r="V21" s="147">
        <f t="shared" si="6"/>
        <v>-3834.3891898970578</v>
      </c>
      <c r="W21" s="147">
        <f t="shared" si="6"/>
        <v>-4825.633785279415</v>
      </c>
      <c r="X21" s="147">
        <f>+W17</f>
        <v>-5623.2053948760558</v>
      </c>
      <c r="Y21" s="147">
        <f t="shared" si="6"/>
        <v>-6446.9709907584092</v>
      </c>
      <c r="Z21" s="147">
        <f t="shared" si="6"/>
        <v>-6949.3017555581728</v>
      </c>
      <c r="AA21" s="147">
        <f t="shared" si="6"/>
        <v>-7539.6680104405277</v>
      </c>
      <c r="AB21" s="351">
        <f t="shared" si="6"/>
        <v>-8502.0190108228762</v>
      </c>
      <c r="AC21" s="103">
        <f t="shared" si="6"/>
        <v>-9992.4450540052112</v>
      </c>
      <c r="AD21" s="103">
        <f t="shared" si="6"/>
        <v>-12114.107256178666</v>
      </c>
      <c r="AE21" s="103">
        <f t="shared" si="6"/>
        <v>-14672.687288807983</v>
      </c>
      <c r="AF21" s="267">
        <f t="shared" si="6"/>
        <v>-17583.421640688372</v>
      </c>
    </row>
    <row r="22" spans="1:32" s="147" customFormat="1" x14ac:dyDescent="0.2">
      <c r="A22" s="9" t="s">
        <v>211</v>
      </c>
      <c r="B22" s="9" t="s">
        <v>283</v>
      </c>
      <c r="C22" s="9"/>
      <c r="D22" s="9"/>
      <c r="E22" s="9"/>
      <c r="F22" s="9"/>
      <c r="G22" s="9">
        <f>G40</f>
        <v>490.89374999999995</v>
      </c>
      <c r="H22" s="9">
        <f t="shared" ref="H22:N22" si="7">H40</f>
        <v>496.19374999999991</v>
      </c>
      <c r="I22" s="9">
        <f t="shared" si="7"/>
        <v>374.83750000000009</v>
      </c>
      <c r="J22" s="9">
        <f t="shared" si="7"/>
        <v>464.828125</v>
      </c>
      <c r="K22" s="9">
        <f t="shared" si="7"/>
        <v>136.38937499999997</v>
      </c>
      <c r="L22" s="9">
        <f t="shared" si="7"/>
        <v>-152.8468750000001</v>
      </c>
      <c r="M22" s="9">
        <f t="shared" si="7"/>
        <v>-401.5474999999999</v>
      </c>
      <c r="N22" s="9">
        <f t="shared" si="7"/>
        <v>42.510749999999916</v>
      </c>
      <c r="O22" s="9">
        <f t="shared" ref="O22:U22" si="8">O40</f>
        <v>238.24039875000005</v>
      </c>
      <c r="P22" s="9">
        <f t="shared" si="8"/>
        <v>234.77439487499964</v>
      </c>
      <c r="Q22" s="147">
        <f t="shared" si="8"/>
        <v>239.72432156249982</v>
      </c>
      <c r="R22" s="147">
        <f t="shared" si="8"/>
        <v>294.79290849999967</v>
      </c>
      <c r="S22" s="147">
        <f t="shared" si="8"/>
        <v>345.42178361764712</v>
      </c>
      <c r="T22" s="147">
        <f t="shared" si="8"/>
        <v>341.91277174264695</v>
      </c>
      <c r="U22" s="147">
        <f t="shared" si="8"/>
        <v>49.981939117647116</v>
      </c>
      <c r="V22" s="147">
        <f t="shared" ref="V22:AA22" si="9">V40</f>
        <v>255.10110261764743</v>
      </c>
      <c r="W22" s="147">
        <f t="shared" si="9"/>
        <v>521.87171615336092</v>
      </c>
      <c r="X22" s="147">
        <f t="shared" si="9"/>
        <v>522.57717230514731</v>
      </c>
      <c r="Y22" s="147">
        <f>Y40</f>
        <v>894.68598745023655</v>
      </c>
      <c r="Z22" s="147">
        <f t="shared" si="9"/>
        <v>877.97365661764707</v>
      </c>
      <c r="AA22" s="147">
        <f t="shared" si="9"/>
        <v>567.68878886764685</v>
      </c>
      <c r="AB22" s="351">
        <f>AB40</f>
        <v>113.18279286764664</v>
      </c>
      <c r="AC22" s="103">
        <f>AC40</f>
        <v>-451.53316598285755</v>
      </c>
      <c r="AD22" s="103">
        <f>AD40</f>
        <v>-819.83476177699049</v>
      </c>
      <c r="AE22" s="103">
        <f>AE40</f>
        <v>-1110.3006855079802</v>
      </c>
      <c r="AF22" s="267">
        <f>AF40</f>
        <v>-1350.801660794222</v>
      </c>
    </row>
    <row r="23" spans="1:32" s="147" customFormat="1" x14ac:dyDescent="0.2">
      <c r="A23" s="9" t="s">
        <v>251</v>
      </c>
      <c r="B23" s="9" t="s">
        <v>254</v>
      </c>
      <c r="C23" s="9"/>
      <c r="D23" s="9"/>
      <c r="E23" s="9"/>
      <c r="F23" s="9"/>
      <c r="G23" s="148">
        <f>'Data Input'!H46*-1</f>
        <v>-566</v>
      </c>
      <c r="H23" s="148">
        <f>'Data Input'!I46*-1-'RCA data'!C34</f>
        <v>-686</v>
      </c>
      <c r="I23" s="148">
        <f>'Data Input'!J46*-1-'RCA data'!D34</f>
        <v>-926</v>
      </c>
      <c r="J23" s="148">
        <f>'Data Input'!K46*-1-'RCA data'!E34</f>
        <v>-1132</v>
      </c>
      <c r="K23" s="148">
        <f>'Data Input'!L46*-1-'RCA data'!F34</f>
        <v>-1109</v>
      </c>
      <c r="L23" s="148">
        <f>'Data Input'!M46*-1-'RCA data'!G34</f>
        <v>-667</v>
      </c>
      <c r="M23" s="148">
        <f>'Data Input'!N46*-1-'RCA data'!H34</f>
        <v>-635</v>
      </c>
      <c r="N23" s="148">
        <f>'Data Input'!O46*-1-'RCA data'!I34</f>
        <v>-645.03436999999997</v>
      </c>
      <c r="O23" s="148">
        <f>'Data Input'!P46*-1-'RCA data'!J34</f>
        <v>-676.24282600000004</v>
      </c>
      <c r="P23" s="148">
        <f>'Data Input'!Q46*-1-'RCA data'!K34</f>
        <v>-684.943175</v>
      </c>
      <c r="Q23" s="148">
        <f>'Data Input'!R46*-1-'RCA data'!L34</f>
        <v>-709.86459278000007</v>
      </c>
      <c r="R23" s="148">
        <f>'Data Input'!S46*-1-'RCA data'!M34</f>
        <v>-741.48453299999994</v>
      </c>
      <c r="S23" s="148">
        <f>'Data Input'!T46*-1-'RCA data'!N34</f>
        <v>-797.03366590999997</v>
      </c>
      <c r="T23" s="148">
        <f>'Data Input'!U46*-1-'RCA data'!O34</f>
        <v>-808.96671099999992</v>
      </c>
      <c r="U23" s="148">
        <f>'Data Input'!V46*-1-'RCA data'!P34</f>
        <v>-1072.5734319999999</v>
      </c>
      <c r="V23" s="148">
        <f>'Data Input'!W46*-1-'RCA data'!Q34</f>
        <v>-1246.11346366</v>
      </c>
      <c r="W23" s="148">
        <f>'Data Input'!X46*-1-'RCA data'!R34</f>
        <v>-1318.4009160000001</v>
      </c>
      <c r="X23" s="148">
        <f>'Data Input'!Y46*-1-'RCA data'!S34</f>
        <v>-1346.195416</v>
      </c>
      <c r="Y23" s="148">
        <f>'Data Input'!Z46*-1-'RCA data'!T34</f>
        <v>-1395.52219311</v>
      </c>
      <c r="Z23" s="148">
        <f>'Data Input'!AA46*-1-'RCA data'!U34</f>
        <v>-1466.1618190000002</v>
      </c>
      <c r="AA23" s="148">
        <f>'Data Input'!AB46*-1-'RCA data'!V34</f>
        <v>-1530.930482</v>
      </c>
      <c r="AB23" s="383">
        <f>'Data Input'!AC46*-1-'RCA data'!W34</f>
        <v>-1600.9070463</v>
      </c>
      <c r="AC23" s="105">
        <f>'Data Input'!AD46*-1-'RCA data'!X34</f>
        <v>-1666.9120079905738</v>
      </c>
      <c r="AD23" s="105">
        <f>'Data Input'!AE46*-1-'RCA data'!Y34</f>
        <v>-1735.4365180831569</v>
      </c>
      <c r="AE23" s="105">
        <f>'Data Input'!AF46*-1-'RCA data'!Z34</f>
        <v>-1797.0289698082915</v>
      </c>
      <c r="AF23" s="281">
        <f>'Data Input'!AG46*-1-'RCA data'!AA34</f>
        <v>-1860.7551458725352</v>
      </c>
    </row>
    <row r="24" spans="1:32" s="120" customFormat="1" x14ac:dyDescent="0.2">
      <c r="A24" s="8" t="s">
        <v>253</v>
      </c>
      <c r="B24" s="8" t="s">
        <v>31</v>
      </c>
      <c r="C24" s="8"/>
      <c r="D24" s="8"/>
      <c r="E24" s="8"/>
      <c r="F24" s="8"/>
      <c r="G24" s="21">
        <f>SUM(G21:G23)</f>
        <v>4758.4693749999988</v>
      </c>
      <c r="H24" s="21">
        <f t="shared" ref="H24:Q24" si="10">SUM(H21:H23)</f>
        <v>4568.6631249999991</v>
      </c>
      <c r="I24" s="21">
        <f t="shared" si="10"/>
        <v>4017.5006250000024</v>
      </c>
      <c r="J24" s="21">
        <f t="shared" si="10"/>
        <v>3350.3287500000024</v>
      </c>
      <c r="K24" s="21">
        <f t="shared" si="10"/>
        <v>2377.7181250000003</v>
      </c>
      <c r="L24" s="21">
        <f t="shared" si="10"/>
        <v>1557.8712500000015</v>
      </c>
      <c r="M24" s="21">
        <f t="shared" si="10"/>
        <v>521.32374999999752</v>
      </c>
      <c r="N24" s="21">
        <f t="shared" si="10"/>
        <v>-80.988619999999969</v>
      </c>
      <c r="O24" s="21">
        <f t="shared" si="10"/>
        <v>-521.7022972499999</v>
      </c>
      <c r="P24" s="21">
        <f t="shared" si="10"/>
        <v>-971.87107737500162</v>
      </c>
      <c r="Q24" s="141">
        <f t="shared" si="10"/>
        <v>-1442.9027434675002</v>
      </c>
      <c r="R24" s="141">
        <f t="shared" ref="R24:AD24" si="11">SUM(R21:R23)</f>
        <v>-1890.0627307500026</v>
      </c>
      <c r="S24" s="141">
        <f t="shared" si="11"/>
        <v>-2342.746521542349</v>
      </c>
      <c r="T24" s="141">
        <f t="shared" si="11"/>
        <v>-2809.495173389706</v>
      </c>
      <c r="U24" s="141">
        <f t="shared" si="11"/>
        <v>-3833.4819768970638</v>
      </c>
      <c r="V24" s="141">
        <f t="shared" si="11"/>
        <v>-4825.4015509394103</v>
      </c>
      <c r="W24" s="141">
        <f t="shared" si="11"/>
        <v>-5622.162985126055</v>
      </c>
      <c r="X24" s="141">
        <f t="shared" si="11"/>
        <v>-6446.8236385709079</v>
      </c>
      <c r="Y24" s="141">
        <f t="shared" si="11"/>
        <v>-6947.8071964181727</v>
      </c>
      <c r="Z24" s="141">
        <f t="shared" si="11"/>
        <v>-7537.4899179405256</v>
      </c>
      <c r="AA24" s="141">
        <f t="shared" si="11"/>
        <v>-8502.909703572881</v>
      </c>
      <c r="AB24" s="368">
        <f t="shared" si="11"/>
        <v>-9989.7432642552303</v>
      </c>
      <c r="AC24" s="95">
        <f t="shared" si="11"/>
        <v>-12110.890227978642</v>
      </c>
      <c r="AD24" s="95">
        <f t="shared" si="11"/>
        <v>-14669.378536038814</v>
      </c>
      <c r="AE24" s="95">
        <f t="shared" ref="AE24:AF24" si="12">SUM(AE21:AE23)</f>
        <v>-17580.016944124254</v>
      </c>
      <c r="AF24" s="262">
        <f t="shared" si="12"/>
        <v>-20794.97844735513</v>
      </c>
    </row>
    <row r="25" spans="1:32" s="147" customFormat="1" x14ac:dyDescent="0.2">
      <c r="A25" s="9" t="s">
        <v>217</v>
      </c>
      <c r="B25" s="9"/>
      <c r="C25" s="9"/>
      <c r="D25" s="9"/>
      <c r="E25" s="9"/>
      <c r="F25" s="9"/>
      <c r="G25" s="9">
        <f>G24-G17</f>
        <v>0</v>
      </c>
      <c r="H25" s="9">
        <f t="shared" ref="H25:Q25" si="13">H24-H17</f>
        <v>0</v>
      </c>
      <c r="I25" s="9">
        <f t="shared" si="13"/>
        <v>0</v>
      </c>
      <c r="J25" s="9">
        <f t="shared" si="13"/>
        <v>0</v>
      </c>
      <c r="K25" s="9">
        <f t="shared" si="13"/>
        <v>0</v>
      </c>
      <c r="L25" s="9">
        <f t="shared" si="13"/>
        <v>4.0927261579781771E-12</v>
      </c>
      <c r="M25" s="9">
        <f t="shared" si="13"/>
        <v>-0.21125000000256478</v>
      </c>
      <c r="N25" s="9">
        <f t="shared" si="13"/>
        <v>2.71124999999995</v>
      </c>
      <c r="O25" s="9">
        <f t="shared" si="13"/>
        <v>1.3642420526593924E-12</v>
      </c>
      <c r="P25" s="9">
        <f t="shared" si="13"/>
        <v>0.89139487499835468</v>
      </c>
      <c r="Q25" s="147">
        <f t="shared" si="13"/>
        <v>0.46836278250225405</v>
      </c>
      <c r="R25" s="147">
        <f t="shared" ref="R25:Y25" si="14">R24-R17</f>
        <v>1.0719084999934694</v>
      </c>
      <c r="S25" s="147">
        <f t="shared" si="14"/>
        <v>-0.30528740999579895</v>
      </c>
      <c r="T25" s="147">
        <f t="shared" si="14"/>
        <v>1.3953106250046403</v>
      </c>
      <c r="U25" s="147">
        <f>U24-U17</f>
        <v>0.90721299999404437</v>
      </c>
      <c r="V25" s="147">
        <f t="shared" si="14"/>
        <v>0.23223434000465204</v>
      </c>
      <c r="W25" s="147">
        <f t="shared" si="14"/>
        <v>1.0424097500008429</v>
      </c>
      <c r="X25" s="147">
        <f t="shared" si="14"/>
        <v>0.14735218750138301</v>
      </c>
      <c r="Y25" s="147">
        <f t="shared" si="14"/>
        <v>1.4945591400000922</v>
      </c>
      <c r="Z25" s="147">
        <f t="shared" ref="Z25:AE25" si="15">Z24-Z17</f>
        <v>2.1780925000020943</v>
      </c>
      <c r="AA25" s="147">
        <f t="shared" si="15"/>
        <v>-0.8906927500047459</v>
      </c>
      <c r="AB25" s="351">
        <f t="shared" si="15"/>
        <v>2.7017897499808896</v>
      </c>
      <c r="AC25" s="103">
        <f t="shared" si="15"/>
        <v>3.2170282000242878</v>
      </c>
      <c r="AD25" s="103">
        <f t="shared" si="15"/>
        <v>3.3087527691695868</v>
      </c>
      <c r="AE25" s="103">
        <f t="shared" si="15"/>
        <v>3.4046965641173301</v>
      </c>
      <c r="AF25" s="267">
        <f t="shared" ref="AF25" si="16">AF24-AF17</f>
        <v>3.5050255491732969</v>
      </c>
    </row>
    <row r="26" spans="1:32" s="147" customFormat="1" x14ac:dyDescent="0.2">
      <c r="A26" s="9"/>
      <c r="B26" s="9"/>
      <c r="C26" s="9"/>
      <c r="D26" s="9"/>
      <c r="E26" s="9"/>
      <c r="F26" s="9"/>
      <c r="G26" s="9"/>
      <c r="H26" s="9"/>
      <c r="I26" s="9"/>
      <c r="J26" s="9"/>
      <c r="K26" s="9"/>
      <c r="L26" s="9"/>
      <c r="M26" s="9"/>
      <c r="N26" s="9"/>
      <c r="O26" s="9"/>
      <c r="P26" s="9"/>
      <c r="AB26" s="351"/>
      <c r="AC26" s="103"/>
      <c r="AD26" s="103"/>
      <c r="AE26" s="103"/>
      <c r="AF26" s="267"/>
    </row>
    <row r="27" spans="1:32" s="147" customFormat="1" x14ac:dyDescent="0.2">
      <c r="A27" s="9"/>
      <c r="B27" s="9"/>
      <c r="C27" s="9"/>
      <c r="D27" s="9"/>
      <c r="E27" s="9"/>
      <c r="F27" s="9"/>
      <c r="G27" s="9"/>
      <c r="H27" s="9"/>
      <c r="I27" s="9"/>
      <c r="J27" s="9"/>
      <c r="K27" s="9"/>
      <c r="L27" s="9"/>
      <c r="M27" s="9"/>
      <c r="N27" s="9"/>
      <c r="O27" s="9"/>
      <c r="P27" s="9"/>
      <c r="AB27" s="351"/>
      <c r="AC27" s="103"/>
      <c r="AD27" s="103"/>
      <c r="AE27" s="103"/>
      <c r="AF27" s="267"/>
    </row>
    <row r="28" spans="1:32" s="122" customFormat="1" x14ac:dyDescent="0.2">
      <c r="A28" s="12" t="s">
        <v>285</v>
      </c>
      <c r="B28" s="3"/>
      <c r="C28" s="3"/>
      <c r="D28" s="3"/>
      <c r="E28" s="3"/>
      <c r="F28" s="3"/>
      <c r="G28" s="3"/>
      <c r="H28" s="3"/>
      <c r="I28" s="3"/>
      <c r="J28" s="3"/>
      <c r="K28" s="3"/>
      <c r="L28" s="3"/>
      <c r="M28" s="3"/>
      <c r="N28" s="3"/>
      <c r="O28" s="3"/>
      <c r="P28" s="3"/>
      <c r="AB28" s="352"/>
      <c r="AC28" s="79"/>
      <c r="AD28" s="79"/>
      <c r="AE28" s="79"/>
      <c r="AF28" s="241"/>
    </row>
    <row r="29" spans="1:32" s="122" customFormat="1" x14ac:dyDescent="0.2">
      <c r="A29" s="3"/>
      <c r="B29" s="3"/>
      <c r="C29" s="3"/>
      <c r="D29" s="3"/>
      <c r="E29" s="3"/>
      <c r="F29" s="3"/>
      <c r="G29" s="3"/>
      <c r="H29" s="3"/>
      <c r="I29" s="3"/>
      <c r="J29" s="3"/>
      <c r="K29" s="3"/>
      <c r="L29" s="3"/>
      <c r="M29" s="3"/>
      <c r="N29" s="3"/>
      <c r="O29" s="3"/>
      <c r="P29" s="3"/>
      <c r="AB29" s="352"/>
      <c r="AC29" s="79"/>
      <c r="AD29" s="79"/>
      <c r="AE29" s="79"/>
      <c r="AF29" s="241"/>
    </row>
    <row r="30" spans="1:32" s="122" customFormat="1" x14ac:dyDescent="0.2">
      <c r="A30" s="3" t="s">
        <v>218</v>
      </c>
      <c r="B30" s="3" t="s">
        <v>347</v>
      </c>
      <c r="C30" s="3">
        <f>expense!C10</f>
        <v>465</v>
      </c>
      <c r="D30" s="3">
        <f>expense!D10</f>
        <v>590</v>
      </c>
      <c r="E30" s="3">
        <f>expense!E10</f>
        <v>594</v>
      </c>
      <c r="F30" s="3">
        <f>expense!F10</f>
        <v>585</v>
      </c>
      <c r="G30" s="3">
        <f>expense!G10</f>
        <v>646</v>
      </c>
      <c r="H30" s="3">
        <f>expense!H10</f>
        <v>681.5</v>
      </c>
      <c r="I30" s="3">
        <f>expense!I10</f>
        <v>668.5</v>
      </c>
      <c r="J30" s="3">
        <f>expense!J10</f>
        <v>602</v>
      </c>
      <c r="K30" s="3">
        <f>expense!K10+'RCA exp'!E10</f>
        <v>665</v>
      </c>
      <c r="L30" s="3">
        <f>expense!L10+'RCA exp'!F10</f>
        <v>661.5</v>
      </c>
      <c r="M30" s="3">
        <f>expense!M10+'RCA exp'!G10</f>
        <v>659</v>
      </c>
      <c r="N30" s="3">
        <f>expense!N10+'RCA exp'!H10</f>
        <v>785.5</v>
      </c>
      <c r="O30" s="3">
        <f>expense!O10+'RCA exp'!I10</f>
        <v>863.82399999999996</v>
      </c>
      <c r="P30" s="3">
        <f>expense!P10+'RCA exp'!J10</f>
        <v>872.03800000000001</v>
      </c>
      <c r="Q30" s="122">
        <f>expense!Q10+'RCA exp'!K10</f>
        <v>883.16849999999999</v>
      </c>
      <c r="R30" s="122">
        <f>expense!R10+'RCA exp'!L10</f>
        <v>960.29750000000001</v>
      </c>
      <c r="S30" s="122">
        <f>expense!S10+'RCA exp'!M10</f>
        <v>1001.165</v>
      </c>
      <c r="T30" s="122">
        <f>expense!T10+'RCA exp'!N10</f>
        <v>1055.6524999999999</v>
      </c>
      <c r="U30" s="122">
        <f>expense!U10+'RCA exp'!O10</f>
        <v>1123.4195</v>
      </c>
      <c r="V30" s="227">
        <f>expense!V10+'RCA exp'!P10</f>
        <v>1179.4725000000001</v>
      </c>
      <c r="W30" s="122">
        <f>expense!W10+'RCA exp'!Q10</f>
        <v>1223.4095</v>
      </c>
      <c r="X30" s="122">
        <f>expense!X10+'RCA exp'!R10</f>
        <v>1290.0060000000001</v>
      </c>
      <c r="Y30" s="122">
        <f>expense!Y10+'RCA exp'!S10</f>
        <v>1402.7874999999999</v>
      </c>
      <c r="Z30" s="122">
        <f>expense!Z10+'RCA exp'!T10</f>
        <v>1333.7255</v>
      </c>
      <c r="AA30" s="122">
        <f>expense!AA10+'RCA exp'!U10</f>
        <v>1465.268</v>
      </c>
      <c r="AB30" s="352">
        <f>expense!AB10+'RCA exp'!V10</f>
        <v>1455.1120000000001</v>
      </c>
      <c r="AC30" s="79">
        <f>expense!AC10+'RCA exp'!W10</f>
        <v>1516.011675</v>
      </c>
      <c r="AD30" s="79">
        <f>expense!AD10+'RCA exp'!X10</f>
        <v>1635.3715152148434</v>
      </c>
      <c r="AE30" s="79">
        <f>expense!AE10+'RCA exp'!Y10</f>
        <v>1754.6302188377069</v>
      </c>
      <c r="AF30" s="241">
        <f>expense!AF10+'RCA exp'!Z10</f>
        <v>1882.5426198656914</v>
      </c>
    </row>
    <row r="31" spans="1:32" s="122" customFormat="1" x14ac:dyDescent="0.2">
      <c r="A31" s="3" t="s">
        <v>219</v>
      </c>
      <c r="B31" s="3" t="s">
        <v>347</v>
      </c>
      <c r="C31" s="23" t="str">
        <f>expense!C11</f>
        <v>n/a</v>
      </c>
      <c r="D31" s="23">
        <f>expense!D11</f>
        <v>-55.5</v>
      </c>
      <c r="E31" s="23">
        <f>expense!E11</f>
        <v>-30.5</v>
      </c>
      <c r="F31" s="23">
        <f>expense!F11</f>
        <v>-128.5</v>
      </c>
      <c r="G31" s="23">
        <f>expense!G11</f>
        <v>-74</v>
      </c>
      <c r="H31" s="23">
        <f>expense!H11</f>
        <v>-146.5</v>
      </c>
      <c r="I31" s="23">
        <f>expense!I11</f>
        <v>-190</v>
      </c>
      <c r="J31" s="23">
        <f>expense!J11</f>
        <v>-219.5</v>
      </c>
      <c r="K31" s="23">
        <f>expense!K11+'RCA exp'!E11</f>
        <v>-333.5</v>
      </c>
      <c r="L31" s="23">
        <f>expense!L11+'RCA exp'!F11</f>
        <v>-496</v>
      </c>
      <c r="M31" s="23">
        <f>expense!M11+'RCA exp'!G11</f>
        <v>-577</v>
      </c>
      <c r="N31" s="23">
        <f>expense!N11+'RCA exp'!H11</f>
        <v>-243</v>
      </c>
      <c r="O31" s="23">
        <f>expense!O11+'RCA exp'!I11</f>
        <v>-251.5</v>
      </c>
      <c r="P31" s="23">
        <f>expense!P11+'RCA exp'!J11</f>
        <v>-240</v>
      </c>
      <c r="Q31" s="131">
        <f>expense!Q11+'RCA exp'!K11</f>
        <v>-251</v>
      </c>
      <c r="R31" s="131">
        <f>expense!R11+'RCA exp'!L11</f>
        <v>-252</v>
      </c>
      <c r="S31" s="131">
        <f>expense!S11+'RCA exp'!M11</f>
        <v>-254.5</v>
      </c>
      <c r="T31" s="131">
        <f>expense!T11+'RCA exp'!N11</f>
        <v>-374</v>
      </c>
      <c r="U31" s="131">
        <f>expense!U11+'RCA exp'!O11</f>
        <v>-574</v>
      </c>
      <c r="V31" s="231">
        <f>expense!V11+'RCA exp'!P11</f>
        <v>-476</v>
      </c>
      <c r="W31" s="131">
        <f>expense!W11+'RCA exp'!Q11</f>
        <v>-304.5</v>
      </c>
      <c r="X31" s="131">
        <f>expense!X11+'RCA exp'!R11</f>
        <v>-253</v>
      </c>
      <c r="Y31" s="131">
        <f>expense!Y11+'RCA exp'!S11</f>
        <v>-98.5</v>
      </c>
      <c r="Z31" s="131">
        <f>expense!Z11+'RCA exp'!T11</f>
        <v>28</v>
      </c>
      <c r="AA31" s="131">
        <f>expense!AA11+'RCA exp'!U11</f>
        <v>-164</v>
      </c>
      <c r="AB31" s="355">
        <f>expense!AB11+'RCA exp'!V11</f>
        <v>-373.5</v>
      </c>
      <c r="AC31" s="84">
        <f>expense!AC11+'RCA exp'!W11</f>
        <v>-681.5</v>
      </c>
      <c r="AD31" s="84">
        <f>expense!AD11+'RCA exp'!X11</f>
        <v>-880.5</v>
      </c>
      <c r="AE31" s="84">
        <f>expense!AE11+'RCA exp'!Y11</f>
        <v>-1036</v>
      </c>
      <c r="AF31" s="246">
        <f>expense!AF11+'RCA exp'!Z11</f>
        <v>-1176</v>
      </c>
    </row>
    <row r="32" spans="1:32" s="122" customFormat="1" x14ac:dyDescent="0.2">
      <c r="A32" s="3" t="s">
        <v>221</v>
      </c>
      <c r="B32" s="3" t="s">
        <v>347</v>
      </c>
      <c r="C32" s="3">
        <f>expense!C12</f>
        <v>167.3175</v>
      </c>
      <c r="D32" s="3">
        <f>expense!D12</f>
        <v>209.71499999999992</v>
      </c>
      <c r="E32" s="3">
        <f>expense!E12</f>
        <v>115.49624999999992</v>
      </c>
      <c r="F32" s="3">
        <f>expense!F12</f>
        <v>126.546875</v>
      </c>
      <c r="G32" s="3">
        <f>expense!G12</f>
        <v>108.89374999999995</v>
      </c>
      <c r="H32" s="3">
        <f>expense!H12</f>
        <v>148.19374999999991</v>
      </c>
      <c r="I32" s="3">
        <f>expense!I12</f>
        <v>71.337500000000091</v>
      </c>
      <c r="J32" s="3">
        <f>expense!J12</f>
        <v>17.744374999999991</v>
      </c>
      <c r="K32" s="23">
        <f>expense!K12+'RCA exp'!E12</f>
        <v>-57.110625000000034</v>
      </c>
      <c r="L32" s="23">
        <f>expense!L12+'RCA exp'!F12</f>
        <v>-183.3468750000001</v>
      </c>
      <c r="M32" s="23">
        <f>expense!M12+'RCA exp'!G12</f>
        <v>-349.5474999999999</v>
      </c>
      <c r="N32" s="23">
        <f>expense!N12+'RCA exp'!H12</f>
        <v>-368.98925000000014</v>
      </c>
      <c r="O32" s="23">
        <f>expense!O12+'RCA exp'!I12</f>
        <v>-244.08360124999987</v>
      </c>
      <c r="P32" s="23">
        <f>expense!P12+'RCA exp'!J12</f>
        <v>-265.26360512500037</v>
      </c>
      <c r="Q32" s="131">
        <f>expense!Q12+'RCA exp'!K12</f>
        <v>-258.44417843750017</v>
      </c>
      <c r="R32" s="131">
        <f>expense!R12+'RCA exp'!L12</f>
        <v>-278.50459150000034</v>
      </c>
      <c r="S32" s="131">
        <f>expense!S12+'RCA exp'!M12</f>
        <v>-255.72851049999991</v>
      </c>
      <c r="T32" s="131">
        <f>expense!T12+'RCA exp'!N12</f>
        <v>-378.22502237500004</v>
      </c>
      <c r="U32" s="131">
        <f>expense!U12+'RCA exp'!O12</f>
        <v>-533.92285499999991</v>
      </c>
      <c r="V32" s="231">
        <f>expense!V12+'RCA exp'!P12</f>
        <v>-478.85669149999973</v>
      </c>
      <c r="W32" s="131">
        <f>expense!W12+'RCA exp'!Q12</f>
        <v>-393.52307796428619</v>
      </c>
      <c r="X32" s="131">
        <f>expense!X12+'RCA exp'!R12</f>
        <v>-490.91412181249984</v>
      </c>
      <c r="Y32" s="131">
        <f>expense!Y12+'RCA exp'!S12</f>
        <v>-384.08680666741043</v>
      </c>
      <c r="Z32" s="131">
        <f>expense!Z12+'RCA exp'!T12</f>
        <v>-454.23713750000002</v>
      </c>
      <c r="AA32" s="131">
        <f>expense!AA12+'RCA exp'!U12</f>
        <v>-703.06450525000025</v>
      </c>
      <c r="AB32" s="355">
        <f>expense!AB12+'RCA exp'!V12</f>
        <v>-935.91450125000051</v>
      </c>
      <c r="AC32" s="84">
        <f>expense!AC12+'RCA exp'!W12</f>
        <v>-1251.0301351005046</v>
      </c>
      <c r="AD32" s="84">
        <f>expense!AD12+'RCA exp'!X12</f>
        <v>-1540.1652875775424</v>
      </c>
      <c r="AE32" s="84">
        <f>expense!AE12+'RCA exp'!Y12</f>
        <v>-1792.8429684645901</v>
      </c>
      <c r="AF32" s="246">
        <f>expense!AF12+'RCA exp'!Z12</f>
        <v>-2020.6908282799291</v>
      </c>
    </row>
    <row r="33" spans="1:32" s="122" customFormat="1" x14ac:dyDescent="0.2">
      <c r="A33" s="3" t="s">
        <v>222</v>
      </c>
      <c r="B33" s="3" t="s">
        <v>347</v>
      </c>
      <c r="C33" s="3">
        <f>expense!C13</f>
        <v>0</v>
      </c>
      <c r="D33" s="3">
        <f>expense!D13</f>
        <v>0</v>
      </c>
      <c r="E33" s="3">
        <f>expense!E13</f>
        <v>0</v>
      </c>
      <c r="F33" s="3">
        <f>expense!F13</f>
        <v>0</v>
      </c>
      <c r="G33" s="3">
        <f>expense!G13</f>
        <v>0</v>
      </c>
      <c r="H33" s="3">
        <f>expense!H13</f>
        <v>0</v>
      </c>
      <c r="I33" s="3">
        <f>expense!I13</f>
        <v>129</v>
      </c>
      <c r="J33" s="3">
        <f>expense!J13</f>
        <v>1006.5</v>
      </c>
      <c r="K33" s="3">
        <f>expense!K13+'RCA exp'!E13</f>
        <v>0</v>
      </c>
      <c r="L33" s="3">
        <f>expense!L13+'RCA exp'!F13</f>
        <v>0</v>
      </c>
      <c r="M33" s="3">
        <f>expense!M13+'RCA exp'!G13</f>
        <v>0</v>
      </c>
      <c r="N33" s="3">
        <f>expense!N13+'RCA exp'!H13</f>
        <v>2279</v>
      </c>
      <c r="O33" s="3">
        <f>expense!O13+'RCA exp'!I13</f>
        <v>0</v>
      </c>
      <c r="P33" s="3">
        <f>expense!P13+'RCA exp'!J13</f>
        <v>0</v>
      </c>
      <c r="Q33" s="122">
        <f>expense!Q13+'RCA exp'!K13</f>
        <v>0</v>
      </c>
      <c r="R33" s="122">
        <f>expense!R13+'RCA exp'!L13</f>
        <v>0</v>
      </c>
      <c r="S33" s="122">
        <f>expense!S13+'RCA exp'!M13</f>
        <v>0</v>
      </c>
      <c r="T33" s="122">
        <f>expense!T13+'RCA exp'!N13</f>
        <v>0</v>
      </c>
      <c r="U33" s="122">
        <f>expense!U13+'RCA exp'!O13</f>
        <v>0</v>
      </c>
      <c r="V33" s="227">
        <f>expense!V13+'RCA exp'!P13</f>
        <v>0</v>
      </c>
      <c r="W33" s="122">
        <f>expense!W13+'RCA exp'!Q13</f>
        <v>0</v>
      </c>
      <c r="X33" s="122">
        <f>expense!X13+'RCA exp'!R13</f>
        <v>0</v>
      </c>
      <c r="Y33" s="122">
        <f>expense!Y13+'RCA exp'!S13</f>
        <v>0</v>
      </c>
      <c r="Z33" s="122">
        <f>expense!Z13+'RCA exp'!T13</f>
        <v>0</v>
      </c>
      <c r="AA33" s="122">
        <f>expense!AA13+'RCA exp'!U13</f>
        <v>0</v>
      </c>
      <c r="AB33" s="352">
        <f>expense!AB13+'RCA exp'!V13</f>
        <v>0</v>
      </c>
      <c r="AC33" s="79">
        <f>expense!AC13+'RCA exp'!W13</f>
        <v>0</v>
      </c>
      <c r="AD33" s="79">
        <f>expense!AD13+'RCA exp'!X13</f>
        <v>0</v>
      </c>
      <c r="AE33" s="79">
        <f>expense!AE13+'RCA exp'!Y13</f>
        <v>0</v>
      </c>
      <c r="AF33" s="241">
        <f>expense!AF13+'RCA exp'!Z13</f>
        <v>0</v>
      </c>
    </row>
    <row r="34" spans="1:32" s="122" customFormat="1" x14ac:dyDescent="0.2">
      <c r="A34" s="3" t="s">
        <v>206</v>
      </c>
      <c r="B34" s="3" t="s">
        <v>348</v>
      </c>
      <c r="C34" s="3">
        <f>expense!C14</f>
        <v>0</v>
      </c>
      <c r="D34" s="3">
        <f>expense!D14</f>
        <v>0</v>
      </c>
      <c r="E34" s="3">
        <f>expense!E14</f>
        <v>0</v>
      </c>
      <c r="F34" s="3">
        <f>expense!F14</f>
        <v>0</v>
      </c>
      <c r="G34" s="3">
        <f>expense!G14</f>
        <v>0</v>
      </c>
      <c r="H34" s="3">
        <f>expense!H14</f>
        <v>0</v>
      </c>
      <c r="I34" s="3">
        <f>expense!I14</f>
        <v>250</v>
      </c>
      <c r="J34" s="3">
        <f>expense!J14</f>
        <v>-250</v>
      </c>
      <c r="K34" s="3">
        <f>expense!K14</f>
        <v>0</v>
      </c>
      <c r="L34" s="3">
        <f>expense!L14</f>
        <v>0</v>
      </c>
      <c r="M34" s="3">
        <f>expense!M14</f>
        <v>0</v>
      </c>
      <c r="N34" s="3">
        <f>expense!N14</f>
        <v>0</v>
      </c>
      <c r="O34" s="3">
        <f>expense!O14</f>
        <v>0</v>
      </c>
      <c r="P34" s="3">
        <f>expense!P14</f>
        <v>0</v>
      </c>
      <c r="Q34" s="122">
        <f>expense!Q14</f>
        <v>0</v>
      </c>
      <c r="R34" s="122">
        <f>expense!R14</f>
        <v>0</v>
      </c>
      <c r="S34" s="122">
        <f>expense!S14</f>
        <v>0</v>
      </c>
      <c r="T34" s="122">
        <f>expense!T14</f>
        <v>0</v>
      </c>
      <c r="U34" s="122">
        <f>expense!U14</f>
        <v>0</v>
      </c>
      <c r="V34" s="227">
        <f>expense!V14</f>
        <v>0</v>
      </c>
      <c r="W34" s="122">
        <f>expense!W14</f>
        <v>0</v>
      </c>
      <c r="X34" s="122">
        <f>expense!X14</f>
        <v>0</v>
      </c>
      <c r="Y34" s="122">
        <f>expense!Y14</f>
        <v>0</v>
      </c>
      <c r="Z34" s="122">
        <f>expense!Z14</f>
        <v>0</v>
      </c>
      <c r="AA34" s="122">
        <f>expense!AA14</f>
        <v>0</v>
      </c>
      <c r="AB34" s="352">
        <f>expense!AB14</f>
        <v>0</v>
      </c>
      <c r="AC34" s="79">
        <f>expense!AC14</f>
        <v>0</v>
      </c>
      <c r="AD34" s="79">
        <f>expense!AD14</f>
        <v>0</v>
      </c>
      <c r="AE34" s="79">
        <f>expense!AE14</f>
        <v>0</v>
      </c>
      <c r="AF34" s="241">
        <f>expense!AF14</f>
        <v>0</v>
      </c>
    </row>
    <row r="35" spans="1:32" s="122" customFormat="1" x14ac:dyDescent="0.2">
      <c r="A35" s="3" t="s">
        <v>284</v>
      </c>
      <c r="B35" s="3" t="s">
        <v>349</v>
      </c>
      <c r="C35" s="3"/>
      <c r="D35" s="3"/>
      <c r="E35" s="3"/>
      <c r="F35" s="3"/>
      <c r="G35" s="3"/>
      <c r="H35" s="3"/>
      <c r="I35" s="3"/>
      <c r="J35" s="3">
        <f>'RCA liab'!$E$11</f>
        <v>220.58374999999998</v>
      </c>
      <c r="K35" s="3"/>
      <c r="L35" s="3"/>
      <c r="M35" s="3"/>
      <c r="N35" s="3"/>
      <c r="O35" s="3"/>
      <c r="P35" s="3"/>
      <c r="V35" s="227"/>
      <c r="AB35" s="352"/>
      <c r="AC35" s="79"/>
      <c r="AD35" s="79"/>
      <c r="AE35" s="79"/>
      <c r="AF35" s="241"/>
    </row>
    <row r="36" spans="1:32" s="122" customFormat="1" x14ac:dyDescent="0.2">
      <c r="A36" s="3" t="s">
        <v>247</v>
      </c>
      <c r="B36" s="3" t="s">
        <v>347</v>
      </c>
      <c r="C36" s="3">
        <f>expense!C15</f>
        <v>0</v>
      </c>
      <c r="D36" s="3">
        <f>expense!D15</f>
        <v>0</v>
      </c>
      <c r="E36" s="3">
        <f>expense!E15</f>
        <v>0</v>
      </c>
      <c r="F36" s="3">
        <f>expense!F15</f>
        <v>0</v>
      </c>
      <c r="G36" s="3">
        <f>expense!G15</f>
        <v>0</v>
      </c>
      <c r="H36" s="3">
        <f>expense!H15</f>
        <v>0</v>
      </c>
      <c r="I36" s="3">
        <f>expense!I15</f>
        <v>-379</v>
      </c>
      <c r="J36" s="3">
        <f>expense!J15</f>
        <v>-756.5</v>
      </c>
      <c r="K36" s="3">
        <f>expense!K15+'RCA exp'!E14</f>
        <v>0</v>
      </c>
      <c r="L36" s="3">
        <f>expense!L15+'RCA exp'!F14</f>
        <v>0</v>
      </c>
      <c r="M36" s="3">
        <f>expense!M15+'RCA exp'!G14</f>
        <v>0</v>
      </c>
      <c r="N36" s="3">
        <f>expense!N15+'RCA exp'!H14</f>
        <v>-2279</v>
      </c>
      <c r="O36" s="3">
        <f>expense!O15+'RCA exp'!I14</f>
        <v>0</v>
      </c>
      <c r="P36" s="3">
        <f>expense!P15+'RCA exp'!J14</f>
        <v>0</v>
      </c>
      <c r="Q36" s="122">
        <f>expense!Q15+'RCA exp'!K14</f>
        <v>0</v>
      </c>
      <c r="R36" s="122">
        <f>expense!R15+'RCA exp'!L14</f>
        <v>0</v>
      </c>
      <c r="S36" s="122">
        <f>expense!S15+'RCA exp'!M14</f>
        <v>0</v>
      </c>
      <c r="T36" s="122">
        <f>expense!T15+'RCA exp'!N14</f>
        <v>0</v>
      </c>
      <c r="U36" s="122">
        <f>expense!U15+'RCA exp'!O14</f>
        <v>0</v>
      </c>
      <c r="V36" s="227">
        <f>expense!V15+'RCA exp'!P14</f>
        <v>0</v>
      </c>
      <c r="W36" s="122">
        <f>expense!W15+'RCA exp'!Q14</f>
        <v>0</v>
      </c>
      <c r="X36" s="122">
        <f>expense!X15+'RCA exp'!R14</f>
        <v>0</v>
      </c>
      <c r="Y36" s="122">
        <f>expense!Y15+'RCA exp'!S14</f>
        <v>0</v>
      </c>
      <c r="Z36" s="122">
        <f>expense!Z15+'RCA exp'!T14</f>
        <v>0</v>
      </c>
      <c r="AA36" s="122">
        <f>expense!AA15+'RCA exp'!U14</f>
        <v>0</v>
      </c>
      <c r="AB36" s="352">
        <f>expense!AB15+'RCA exp'!V14</f>
        <v>0</v>
      </c>
      <c r="AC36" s="79">
        <f>expense!AC15+'RCA exp'!W14</f>
        <v>0</v>
      </c>
      <c r="AD36" s="79">
        <f>expense!AD15+'RCA exp'!X14</f>
        <v>0</v>
      </c>
      <c r="AE36" s="79">
        <f>expense!AE15+'RCA exp'!Y14</f>
        <v>0</v>
      </c>
      <c r="AF36" s="241">
        <f>expense!AF15+'RCA exp'!Z14</f>
        <v>0</v>
      </c>
    </row>
    <row r="37" spans="1:32" s="122" customFormat="1" x14ac:dyDescent="0.2">
      <c r="A37" s="3" t="s">
        <v>246</v>
      </c>
      <c r="B37" s="3" t="s">
        <v>348</v>
      </c>
      <c r="C37" s="3">
        <f>expense!C16</f>
        <v>0</v>
      </c>
      <c r="D37" s="3">
        <f>expense!D16</f>
        <v>0</v>
      </c>
      <c r="E37" s="3">
        <f>expense!E16</f>
        <v>0</v>
      </c>
      <c r="F37" s="3">
        <f>expense!F16</f>
        <v>-174</v>
      </c>
      <c r="G37" s="3">
        <f>expense!G16</f>
        <v>-174</v>
      </c>
      <c r="H37" s="3">
        <f>expense!H16</f>
        <v>-174</v>
      </c>
      <c r="I37" s="3">
        <f>expense!I16</f>
        <v>-174</v>
      </c>
      <c r="J37" s="3">
        <f>expense!J16</f>
        <v>-174</v>
      </c>
      <c r="K37" s="3">
        <f>expense!K16</f>
        <v>-174</v>
      </c>
      <c r="L37" s="3">
        <f>expense!L16</f>
        <v>-174</v>
      </c>
      <c r="M37" s="3">
        <f>expense!M16</f>
        <v>-174</v>
      </c>
      <c r="N37" s="3">
        <f>expense!N16</f>
        <v>-174</v>
      </c>
      <c r="O37" s="3">
        <f>expense!O16</f>
        <v>-174</v>
      </c>
      <c r="P37" s="3">
        <f>expense!P16</f>
        <v>-174</v>
      </c>
      <c r="Q37" s="122">
        <f>expense!Q16</f>
        <v>-174</v>
      </c>
      <c r="R37" s="122">
        <f>expense!R16</f>
        <v>-174</v>
      </c>
      <c r="S37" s="122">
        <f>expense!S16</f>
        <v>-176</v>
      </c>
      <c r="T37" s="122">
        <f>expense!T16</f>
        <v>0</v>
      </c>
      <c r="U37" s="122">
        <f>expense!U16</f>
        <v>0</v>
      </c>
      <c r="V37" s="227">
        <f>expense!V16</f>
        <v>0</v>
      </c>
      <c r="W37" s="122">
        <f>expense!W16</f>
        <v>0</v>
      </c>
      <c r="X37" s="122">
        <f>expense!X16</f>
        <v>0</v>
      </c>
      <c r="Y37" s="122">
        <f>expense!Y16</f>
        <v>0</v>
      </c>
      <c r="Z37" s="122">
        <f>expense!Z16</f>
        <v>0</v>
      </c>
      <c r="AA37" s="122">
        <f>expense!AA16</f>
        <v>0</v>
      </c>
      <c r="AB37" s="352">
        <f>expense!AB16</f>
        <v>0</v>
      </c>
      <c r="AC37" s="79">
        <f>expense!AC16</f>
        <v>0</v>
      </c>
      <c r="AD37" s="79">
        <f>expense!AD16</f>
        <v>0</v>
      </c>
      <c r="AE37" s="79">
        <f>expense!AE16</f>
        <v>0</v>
      </c>
      <c r="AF37" s="241">
        <f>expense!AF16</f>
        <v>0</v>
      </c>
    </row>
    <row r="38" spans="1:32" s="122" customFormat="1" x14ac:dyDescent="0.2">
      <c r="A38" s="158" t="s">
        <v>342</v>
      </c>
      <c r="B38" s="158" t="s">
        <v>348</v>
      </c>
      <c r="C38" s="158"/>
      <c r="D38" s="158"/>
      <c r="E38" s="158"/>
      <c r="F38" s="158"/>
      <c r="G38" s="158"/>
      <c r="H38" s="158"/>
      <c r="I38" s="158"/>
      <c r="J38" s="158"/>
      <c r="K38" s="158"/>
      <c r="L38" s="158"/>
      <c r="M38" s="158"/>
      <c r="N38" s="158"/>
      <c r="O38" s="158"/>
      <c r="P38" s="158"/>
      <c r="Q38" s="158"/>
      <c r="R38" s="158"/>
      <c r="S38" s="158">
        <f>expense!S17</f>
        <v>-5.5147058823529411</v>
      </c>
      <c r="T38" s="122">
        <f>expense!T17</f>
        <v>-5.5147058823529411</v>
      </c>
      <c r="U38" s="122">
        <f>expense!U17</f>
        <v>-5.5147058823529411</v>
      </c>
      <c r="V38" s="227">
        <f>expense!V17</f>
        <v>-5.5147058823529411</v>
      </c>
      <c r="W38" s="122">
        <f>expense!W17</f>
        <v>-5.5147058823529411</v>
      </c>
      <c r="X38" s="122">
        <f>expense!X17</f>
        <v>-5.5147058823529411</v>
      </c>
      <c r="Y38" s="122">
        <f>expense!Y17</f>
        <v>-5.5147058823529411</v>
      </c>
      <c r="Z38" s="122">
        <f>expense!Z17</f>
        <v>-5.5147058823529411</v>
      </c>
      <c r="AA38" s="122">
        <f>expense!AA17</f>
        <v>-5.5147058823529411</v>
      </c>
      <c r="AB38" s="352">
        <f>expense!AB17</f>
        <v>-5.5147058823529411</v>
      </c>
      <c r="AC38" s="79">
        <f>expense!AC17</f>
        <v>-5.0147058823529411</v>
      </c>
      <c r="AD38" s="79">
        <f>expense!AD17</f>
        <v>-5.0147058823529411</v>
      </c>
      <c r="AE38" s="79">
        <f>expense!AE17</f>
        <v>-5.0147058823529411</v>
      </c>
      <c r="AF38" s="241">
        <f>expense!AF17</f>
        <v>-5.0147058823529411</v>
      </c>
    </row>
    <row r="39" spans="1:32" s="122" customFormat="1" x14ac:dyDescent="0.2">
      <c r="A39" s="3" t="s">
        <v>237</v>
      </c>
      <c r="B39" s="3" t="s">
        <v>348</v>
      </c>
      <c r="C39" s="24" t="str">
        <f>expense!C18</f>
        <v>n/a</v>
      </c>
      <c r="D39" s="24" t="str">
        <f>expense!D18</f>
        <v>n/a</v>
      </c>
      <c r="E39" s="24" t="str">
        <f>expense!E18</f>
        <v>n/a</v>
      </c>
      <c r="F39" s="24">
        <f>expense!F18</f>
        <v>-10</v>
      </c>
      <c r="G39" s="24">
        <f>expense!G18</f>
        <v>-16</v>
      </c>
      <c r="H39" s="24">
        <f>expense!H18</f>
        <v>-13</v>
      </c>
      <c r="I39" s="24">
        <f>expense!I18</f>
        <v>-1</v>
      </c>
      <c r="J39" s="24">
        <f>expense!J18</f>
        <v>18</v>
      </c>
      <c r="K39" s="24">
        <f>expense!K18</f>
        <v>36</v>
      </c>
      <c r="L39" s="24">
        <f>expense!L18</f>
        <v>39</v>
      </c>
      <c r="M39" s="24">
        <f>expense!M18</f>
        <v>40</v>
      </c>
      <c r="N39" s="24">
        <f>expense!N18</f>
        <v>43</v>
      </c>
      <c r="O39" s="24">
        <f>expense!O18</f>
        <v>44</v>
      </c>
      <c r="P39" s="24">
        <f>expense!P18</f>
        <v>42</v>
      </c>
      <c r="Q39" s="132">
        <f>expense!Q18</f>
        <v>40</v>
      </c>
      <c r="R39" s="132">
        <f>expense!R18</f>
        <v>39</v>
      </c>
      <c r="S39" s="132">
        <f>expense!S18</f>
        <v>36</v>
      </c>
      <c r="T39" s="132">
        <f>expense!T18</f>
        <v>44</v>
      </c>
      <c r="U39" s="132">
        <f>expense!U18</f>
        <v>40</v>
      </c>
      <c r="V39" s="229">
        <f>expense!V18</f>
        <v>36</v>
      </c>
      <c r="W39" s="132">
        <f>expense!W18</f>
        <v>2</v>
      </c>
      <c r="X39" s="132">
        <f>expense!X18</f>
        <v>-18</v>
      </c>
      <c r="Y39" s="132">
        <f>expense!Y18</f>
        <v>-20</v>
      </c>
      <c r="Z39" s="132">
        <f>expense!Z18</f>
        <v>-24</v>
      </c>
      <c r="AA39" s="132">
        <f>expense!AA18</f>
        <v>-25</v>
      </c>
      <c r="AB39" s="357">
        <f>expense!AB18</f>
        <v>-27</v>
      </c>
      <c r="AC39" s="86">
        <f>expense!AC18</f>
        <v>-30</v>
      </c>
      <c r="AD39" s="86">
        <f>expense!AD18</f>
        <v>-29.526283531938638</v>
      </c>
      <c r="AE39" s="86">
        <f>expense!AE18</f>
        <v>-31.073229998744214</v>
      </c>
      <c r="AF39" s="248">
        <f>expense!AF18</f>
        <v>-31.638746497631519</v>
      </c>
    </row>
    <row r="40" spans="1:32" s="216" customFormat="1" ht="16.5" thickBot="1" x14ac:dyDescent="0.3">
      <c r="A40" s="52" t="s">
        <v>220</v>
      </c>
      <c r="B40" s="9" t="s">
        <v>241</v>
      </c>
      <c r="C40" s="54">
        <f t="shared" ref="C40:Q40" si="17">SUM(C30:C39)</f>
        <v>632.3175</v>
      </c>
      <c r="D40" s="54">
        <f t="shared" si="17"/>
        <v>744.21499999999992</v>
      </c>
      <c r="E40" s="54">
        <f t="shared" si="17"/>
        <v>678.99624999999992</v>
      </c>
      <c r="F40" s="54">
        <f t="shared" si="17"/>
        <v>399.046875</v>
      </c>
      <c r="G40" s="54">
        <f t="shared" si="17"/>
        <v>490.89374999999995</v>
      </c>
      <c r="H40" s="54">
        <f t="shared" si="17"/>
        <v>496.19374999999991</v>
      </c>
      <c r="I40" s="54">
        <f t="shared" si="17"/>
        <v>374.83750000000009</v>
      </c>
      <c r="J40" s="54">
        <f t="shared" si="17"/>
        <v>464.828125</v>
      </c>
      <c r="K40" s="54">
        <f t="shared" si="17"/>
        <v>136.38937499999997</v>
      </c>
      <c r="L40" s="54">
        <f t="shared" si="17"/>
        <v>-152.8468750000001</v>
      </c>
      <c r="M40" s="54">
        <f t="shared" si="17"/>
        <v>-401.5474999999999</v>
      </c>
      <c r="N40" s="54">
        <f t="shared" si="17"/>
        <v>42.510749999999916</v>
      </c>
      <c r="O40" s="54">
        <f t="shared" si="17"/>
        <v>238.24039875000005</v>
      </c>
      <c r="P40" s="54">
        <f t="shared" si="17"/>
        <v>234.77439487499964</v>
      </c>
      <c r="Q40" s="127">
        <f t="shared" si="17"/>
        <v>239.72432156249982</v>
      </c>
      <c r="R40" s="127">
        <f t="shared" ref="R40:AD40" si="18">SUM(R30:R39)</f>
        <v>294.79290849999967</v>
      </c>
      <c r="S40" s="127">
        <f t="shared" si="18"/>
        <v>345.42178361764712</v>
      </c>
      <c r="T40" s="127">
        <f t="shared" si="18"/>
        <v>341.91277174264695</v>
      </c>
      <c r="U40" s="127">
        <f t="shared" si="18"/>
        <v>49.981939117647116</v>
      </c>
      <c r="V40" s="127">
        <f t="shared" si="18"/>
        <v>255.10110261764743</v>
      </c>
      <c r="W40" s="127">
        <f t="shared" si="18"/>
        <v>521.87171615336092</v>
      </c>
      <c r="X40" s="127">
        <f t="shared" si="18"/>
        <v>522.57717230514731</v>
      </c>
      <c r="Y40" s="127">
        <f t="shared" si="18"/>
        <v>894.68598745023655</v>
      </c>
      <c r="Z40" s="127">
        <f t="shared" si="18"/>
        <v>877.97365661764707</v>
      </c>
      <c r="AA40" s="127">
        <f t="shared" si="18"/>
        <v>567.68878886764685</v>
      </c>
      <c r="AB40" s="373">
        <f t="shared" si="18"/>
        <v>113.18279286764664</v>
      </c>
      <c r="AC40" s="99">
        <f t="shared" si="18"/>
        <v>-451.53316598285755</v>
      </c>
      <c r="AD40" s="99">
        <f t="shared" si="18"/>
        <v>-819.83476177699049</v>
      </c>
      <c r="AE40" s="99">
        <f t="shared" ref="AE40:AF40" si="19">SUM(AE30:AE39)</f>
        <v>-1110.3006855079802</v>
      </c>
      <c r="AF40" s="271">
        <f t="shared" si="19"/>
        <v>-1350.801660794222</v>
      </c>
    </row>
    <row r="41" spans="1:32" s="122" customFormat="1" ht="15.75" thickTop="1" x14ac:dyDescent="0.25">
      <c r="A41" s="3"/>
      <c r="B41" s="3"/>
      <c r="C41" s="3"/>
      <c r="D41" s="3"/>
      <c r="E41" s="3"/>
      <c r="F41" s="3"/>
      <c r="G41" s="3"/>
      <c r="H41" s="3"/>
      <c r="I41" s="3"/>
      <c r="J41" s="3"/>
      <c r="K41" s="3"/>
      <c r="L41" s="3"/>
      <c r="M41" s="3"/>
      <c r="N41" s="3"/>
      <c r="O41" s="3"/>
      <c r="P41" s="3"/>
      <c r="R41" s="157">
        <f t="shared" ref="R41:AD41" si="20">R40*1000000</f>
        <v>294792908.49999964</v>
      </c>
      <c r="S41" s="157">
        <f t="shared" si="20"/>
        <v>345421783.61764711</v>
      </c>
      <c r="T41" s="157">
        <f t="shared" si="20"/>
        <v>341912771.74264693</v>
      </c>
      <c r="U41" s="157">
        <f t="shared" si="20"/>
        <v>49981939.117647119</v>
      </c>
      <c r="V41" s="157">
        <f t="shared" si="20"/>
        <v>255101102.61764744</v>
      </c>
      <c r="W41" s="122">
        <f t="shared" si="20"/>
        <v>521871716.1533609</v>
      </c>
      <c r="X41" s="122">
        <f t="shared" si="20"/>
        <v>522577172.30514729</v>
      </c>
      <c r="Y41" s="122">
        <f t="shared" si="20"/>
        <v>894685987.45023656</v>
      </c>
      <c r="Z41" s="388">
        <f t="shared" si="20"/>
        <v>877973656.61764705</v>
      </c>
      <c r="AA41" s="388">
        <f t="shared" si="20"/>
        <v>567688788.86764681</v>
      </c>
      <c r="AB41" s="568">
        <f t="shared" si="20"/>
        <v>113182792.86764663</v>
      </c>
      <c r="AC41" s="322">
        <f t="shared" si="20"/>
        <v>-451533165.98285753</v>
      </c>
      <c r="AD41" s="322">
        <f t="shared" si="20"/>
        <v>-819834761.77699053</v>
      </c>
      <c r="AE41" s="322">
        <f t="shared" ref="AE41:AF41" si="21">AE40*1000000</f>
        <v>-1110300685.5079803</v>
      </c>
      <c r="AF41" s="322">
        <f t="shared" si="21"/>
        <v>-1350801660.7942221</v>
      </c>
    </row>
    <row r="42" spans="1:32" s="122" customFormat="1" x14ac:dyDescent="0.2">
      <c r="A42" s="3"/>
      <c r="B42" s="3"/>
      <c r="C42" s="3"/>
      <c r="D42" s="3"/>
      <c r="E42" s="3"/>
      <c r="F42" s="3"/>
      <c r="G42" s="3"/>
      <c r="H42" s="3"/>
      <c r="I42" s="3"/>
      <c r="J42" s="3"/>
      <c r="K42" s="3"/>
      <c r="L42" s="3"/>
      <c r="M42" s="3"/>
      <c r="N42" s="3"/>
      <c r="O42" s="3"/>
      <c r="P42" s="3"/>
      <c r="X42" s="147"/>
      <c r="Y42" s="147" t="s">
        <v>413</v>
      </c>
      <c r="Z42" s="122">
        <v>-5000000</v>
      </c>
      <c r="AA42" s="122">
        <v>-3000000</v>
      </c>
      <c r="AB42" s="122">
        <v>-3000000</v>
      </c>
      <c r="AC42" s="79"/>
      <c r="AD42" s="79"/>
      <c r="AE42" s="79"/>
      <c r="AF42" s="241"/>
    </row>
    <row r="43" spans="1:32" ht="15" x14ac:dyDescent="0.35">
      <c r="A43" s="41" t="s">
        <v>288</v>
      </c>
      <c r="Y43" s="328" t="s">
        <v>414</v>
      </c>
      <c r="Z43" s="389">
        <f>Z41+Z42</f>
        <v>872973656.61764705</v>
      </c>
      <c r="AA43" s="389">
        <f>AA41+AA42</f>
        <v>564688788.86764681</v>
      </c>
      <c r="AB43" s="569">
        <f>AB41+AB42</f>
        <v>110182792.86764663</v>
      </c>
      <c r="AC43" s="85"/>
      <c r="AD43" s="85"/>
      <c r="AE43" s="85"/>
      <c r="AF43" s="247"/>
    </row>
    <row r="44" spans="1:32" s="122" customFormat="1" x14ac:dyDescent="0.2">
      <c r="A44" s="3" t="s">
        <v>220</v>
      </c>
      <c r="B44" s="3" t="s">
        <v>66</v>
      </c>
      <c r="C44" s="3">
        <f>+C40</f>
        <v>632.3175</v>
      </c>
      <c r="D44" s="3">
        <f t="shared" ref="D44:N44" si="22">+D40</f>
        <v>744.21499999999992</v>
      </c>
      <c r="E44" s="3">
        <f t="shared" si="22"/>
        <v>678.99624999999992</v>
      </c>
      <c r="F44" s="3">
        <f t="shared" si="22"/>
        <v>399.046875</v>
      </c>
      <c r="G44" s="3">
        <f t="shared" si="22"/>
        <v>490.89374999999995</v>
      </c>
      <c r="H44" s="3">
        <f t="shared" si="22"/>
        <v>496.19374999999991</v>
      </c>
      <c r="I44" s="3">
        <f t="shared" si="22"/>
        <v>374.83750000000009</v>
      </c>
      <c r="J44" s="3">
        <f t="shared" si="22"/>
        <v>464.828125</v>
      </c>
      <c r="K44" s="3">
        <f t="shared" si="22"/>
        <v>136.38937499999997</v>
      </c>
      <c r="L44" s="3">
        <f t="shared" si="22"/>
        <v>-152.8468750000001</v>
      </c>
      <c r="M44" s="3">
        <f t="shared" si="22"/>
        <v>-401.5474999999999</v>
      </c>
      <c r="N44" s="3">
        <f t="shared" si="22"/>
        <v>42.510749999999916</v>
      </c>
      <c r="O44" s="3">
        <f t="shared" ref="O44:U44" si="23">+O40</f>
        <v>238.24039875000005</v>
      </c>
      <c r="P44" s="3">
        <f t="shared" si="23"/>
        <v>234.77439487499964</v>
      </c>
      <c r="Q44" s="122">
        <f t="shared" si="23"/>
        <v>239.72432156249982</v>
      </c>
      <c r="R44" s="122">
        <f t="shared" si="23"/>
        <v>294.79290849999967</v>
      </c>
      <c r="S44" s="122">
        <f t="shared" si="23"/>
        <v>345.42178361764712</v>
      </c>
      <c r="T44" s="122">
        <f t="shared" si="23"/>
        <v>341.91277174264695</v>
      </c>
      <c r="U44" s="122">
        <f t="shared" si="23"/>
        <v>49.981939117647116</v>
      </c>
      <c r="V44" s="122">
        <f t="shared" ref="V44:AA44" si="24">+V40</f>
        <v>255.10110261764743</v>
      </c>
      <c r="W44" s="122">
        <f t="shared" si="24"/>
        <v>521.87171615336092</v>
      </c>
      <c r="X44" s="122">
        <f t="shared" si="24"/>
        <v>522.57717230514731</v>
      </c>
      <c r="Y44" s="122">
        <f t="shared" si="24"/>
        <v>894.68598745023655</v>
      </c>
      <c r="Z44" s="107">
        <f t="shared" si="24"/>
        <v>877.97365661764707</v>
      </c>
      <c r="AA44" s="122">
        <f t="shared" si="24"/>
        <v>567.68878886764685</v>
      </c>
      <c r="AB44" s="352">
        <f>+AB40</f>
        <v>113.18279286764664</v>
      </c>
      <c r="AC44" s="79">
        <f>+AC40</f>
        <v>-451.53316598285755</v>
      </c>
      <c r="AD44" s="79">
        <f>+AD40</f>
        <v>-819.83476177699049</v>
      </c>
      <c r="AE44" s="79">
        <f>+AE40</f>
        <v>-1110.3006855079802</v>
      </c>
      <c r="AF44" s="241">
        <f>+AF40</f>
        <v>-1350.801660794222</v>
      </c>
    </row>
    <row r="45" spans="1:32" s="122" customFormat="1" x14ac:dyDescent="0.2">
      <c r="A45" s="3" t="s">
        <v>289</v>
      </c>
      <c r="B45" s="3" t="s">
        <v>287</v>
      </c>
      <c r="C45" s="6">
        <f>'Data Input'!D46*-1</f>
        <v>-655</v>
      </c>
      <c r="D45" s="6">
        <f>'Data Input'!E46*-1</f>
        <v>-872</v>
      </c>
      <c r="E45" s="6">
        <f>'Data Input'!F46*-1</f>
        <v>-933</v>
      </c>
      <c r="F45" s="6">
        <f>'Data Input'!G46*-1</f>
        <v>-441</v>
      </c>
      <c r="G45" s="6">
        <f>'Data Input'!H46*-1</f>
        <v>-566</v>
      </c>
      <c r="H45" s="126">
        <f>'Data Input'!I46*-1-'RCA data'!C34</f>
        <v>-686</v>
      </c>
      <c r="I45" s="126">
        <f>'Data Input'!J46*-1-'RCA data'!D34</f>
        <v>-926</v>
      </c>
      <c r="J45" s="126">
        <f>'Data Input'!K46*-1-'RCA data'!E34</f>
        <v>-1132</v>
      </c>
      <c r="K45" s="126">
        <f>'Data Input'!L46*-1-'RCA data'!F34</f>
        <v>-1109</v>
      </c>
      <c r="L45" s="126">
        <f>'Data Input'!M46*-1-'RCA data'!G34</f>
        <v>-667</v>
      </c>
      <c r="M45" s="126">
        <f>'Data Input'!N46*-1-'RCA data'!H34</f>
        <v>-635</v>
      </c>
      <c r="N45" s="126">
        <f>'Data Input'!O46*-1-'RCA data'!I34</f>
        <v>-645.03436999999997</v>
      </c>
      <c r="O45" s="126">
        <f>'Data Input'!P46*-1-'RCA data'!J34</f>
        <v>-676.24282600000004</v>
      </c>
      <c r="P45" s="126">
        <f>'Data Input'!Q46*-1-'RCA data'!K34</f>
        <v>-684.943175</v>
      </c>
      <c r="Q45" s="126">
        <f>'Data Input'!R46*-1-'RCA data'!L34</f>
        <v>-709.86459278000007</v>
      </c>
      <c r="R45" s="126">
        <f>'Data Input'!S46*-1-'RCA data'!M34</f>
        <v>-741.48453299999994</v>
      </c>
      <c r="S45" s="126">
        <f>'Data Input'!T46*-1-'RCA data'!N34</f>
        <v>-797.03366590999997</v>
      </c>
      <c r="T45" s="126">
        <f>'Data Input'!U46*-1-'RCA data'!O34</f>
        <v>-808.96671099999992</v>
      </c>
      <c r="U45" s="126">
        <f>'Data Input'!V46*-1-'RCA data'!P34</f>
        <v>-1072.5734319999999</v>
      </c>
      <c r="V45" s="126">
        <f>'Data Input'!W46*-1-'RCA data'!Q34</f>
        <v>-1246.11346366</v>
      </c>
      <c r="W45" s="126">
        <f>'Data Input'!X46*-1-'RCA data'!R34</f>
        <v>-1318.4009160000001</v>
      </c>
      <c r="X45" s="126">
        <f>'Data Input'!Y46*-1-'RCA data'!S34</f>
        <v>-1346.195416</v>
      </c>
      <c r="Y45" s="126">
        <f>'Data Input'!Z46*-1-'RCA data'!T34</f>
        <v>-1395.52219311</v>
      </c>
      <c r="Z45" s="126">
        <f>'Data Input'!AA46*-1-'RCA data'!U34</f>
        <v>-1466.1618190000002</v>
      </c>
      <c r="AA45" s="126">
        <f>'Data Input'!AB46*-1-'RCA data'!V34</f>
        <v>-1530.930482</v>
      </c>
      <c r="AB45" s="353">
        <f>'Data Input'!AC46*-1-'RCA data'!W34</f>
        <v>-1600.9070463</v>
      </c>
      <c r="AC45" s="81">
        <f>'Data Input'!AD46*-1-'RCA data'!X34</f>
        <v>-1666.9120079905738</v>
      </c>
      <c r="AD45" s="81">
        <f>'Data Input'!AE46*-1-'RCA data'!Y34</f>
        <v>-1735.4365180831569</v>
      </c>
      <c r="AE45" s="81">
        <f>'Data Input'!AF46*-1-'RCA data'!Z34</f>
        <v>-1797.0289698082915</v>
      </c>
      <c r="AF45" s="242">
        <f>'Data Input'!AG46*-1-'RCA data'!AA34</f>
        <v>-1860.7551458725352</v>
      </c>
    </row>
    <row r="46" spans="1:32" s="217" customFormat="1" ht="15" thickBot="1" x14ac:dyDescent="0.25">
      <c r="A46" s="59" t="s">
        <v>290</v>
      </c>
      <c r="B46" s="60" t="s">
        <v>31</v>
      </c>
      <c r="C46" s="61">
        <f>SUM(C44:C45)</f>
        <v>-22.682500000000005</v>
      </c>
      <c r="D46" s="61">
        <f t="shared" ref="D46:Q46" si="25">SUM(D44:D45)</f>
        <v>-127.78500000000008</v>
      </c>
      <c r="E46" s="61">
        <f t="shared" si="25"/>
        <v>-254.00375000000008</v>
      </c>
      <c r="F46" s="61">
        <f t="shared" si="25"/>
        <v>-41.953125</v>
      </c>
      <c r="G46" s="61">
        <f t="shared" si="25"/>
        <v>-75.106250000000045</v>
      </c>
      <c r="H46" s="61">
        <f t="shared" si="25"/>
        <v>-189.80625000000009</v>
      </c>
      <c r="I46" s="61">
        <f t="shared" si="25"/>
        <v>-551.16249999999991</v>
      </c>
      <c r="J46" s="61">
        <f t="shared" si="25"/>
        <v>-667.171875</v>
      </c>
      <c r="K46" s="61">
        <f t="shared" si="25"/>
        <v>-972.61062500000003</v>
      </c>
      <c r="L46" s="61">
        <f t="shared" si="25"/>
        <v>-819.84687500000007</v>
      </c>
      <c r="M46" s="61">
        <f t="shared" si="25"/>
        <v>-1036.5474999999999</v>
      </c>
      <c r="N46" s="61">
        <f t="shared" si="25"/>
        <v>-602.52362000000005</v>
      </c>
      <c r="O46" s="61">
        <f t="shared" si="25"/>
        <v>-438.00242724999998</v>
      </c>
      <c r="P46" s="61">
        <f t="shared" si="25"/>
        <v>-450.16878012500035</v>
      </c>
      <c r="Q46" s="153">
        <f t="shared" si="25"/>
        <v>-470.14027121750024</v>
      </c>
      <c r="R46" s="153">
        <f t="shared" ref="R46:AD46" si="26">SUM(R44:R45)</f>
        <v>-446.69162450000027</v>
      </c>
      <c r="S46" s="153">
        <f t="shared" si="26"/>
        <v>-451.61188229235285</v>
      </c>
      <c r="T46" s="153">
        <f t="shared" si="26"/>
        <v>-467.05393925735297</v>
      </c>
      <c r="U46" s="153">
        <f t="shared" si="26"/>
        <v>-1022.5914928823528</v>
      </c>
      <c r="V46" s="153">
        <f t="shared" si="26"/>
        <v>-991.0123610423525</v>
      </c>
      <c r="W46" s="153">
        <f t="shared" si="26"/>
        <v>-796.52919984663913</v>
      </c>
      <c r="X46" s="153">
        <f t="shared" si="26"/>
        <v>-823.61824369485271</v>
      </c>
      <c r="Y46" s="153">
        <f t="shared" si="26"/>
        <v>-500.83620565976344</v>
      </c>
      <c r="Z46" s="153">
        <f t="shared" si="26"/>
        <v>-588.18816238235308</v>
      </c>
      <c r="AA46" s="153">
        <f t="shared" si="26"/>
        <v>-963.24169313235313</v>
      </c>
      <c r="AB46" s="387">
        <f t="shared" si="26"/>
        <v>-1487.7242534323534</v>
      </c>
      <c r="AC46" s="108">
        <f t="shared" si="26"/>
        <v>-2118.4451739734313</v>
      </c>
      <c r="AD46" s="108">
        <f t="shared" si="26"/>
        <v>-2555.2712798601474</v>
      </c>
      <c r="AE46" s="108">
        <f t="shared" ref="AE46:AF46" si="27">SUM(AE44:AE45)</f>
        <v>-2907.3296553162718</v>
      </c>
      <c r="AF46" s="286">
        <f t="shared" si="27"/>
        <v>-3211.5568066667574</v>
      </c>
    </row>
    <row r="47" spans="1:32" ht="13.5" thickTop="1" x14ac:dyDescent="0.2">
      <c r="Y47" s="107"/>
      <c r="Z47" s="107"/>
      <c r="AA47" s="107"/>
      <c r="AB47" s="356"/>
      <c r="AC47" s="85"/>
      <c r="AD47" s="85"/>
      <c r="AE47" s="85"/>
      <c r="AF47" s="247"/>
    </row>
    <row r="49" spans="1:32" x14ac:dyDescent="0.2">
      <c r="A49" t="s">
        <v>291</v>
      </c>
      <c r="D49" s="22"/>
      <c r="G49" s="22">
        <f>F17+G46-G17</f>
        <v>0</v>
      </c>
      <c r="H49" s="22">
        <f t="shared" ref="H49:Q49" si="28">G17+H46-H17</f>
        <v>0</v>
      </c>
      <c r="I49" s="22">
        <f t="shared" si="28"/>
        <v>0</v>
      </c>
      <c r="J49" s="22">
        <f t="shared" si="28"/>
        <v>0</v>
      </c>
      <c r="K49" s="22">
        <f t="shared" si="28"/>
        <v>0</v>
      </c>
      <c r="L49" s="22">
        <f t="shared" si="28"/>
        <v>4.0927261579781771E-12</v>
      </c>
      <c r="M49" s="22">
        <f t="shared" si="28"/>
        <v>-0.21125000000256478</v>
      </c>
      <c r="N49" s="22">
        <f t="shared" si="28"/>
        <v>2.71124999999995</v>
      </c>
      <c r="O49" s="22">
        <f t="shared" si="28"/>
        <v>1.3642420526593924E-12</v>
      </c>
      <c r="P49" s="22">
        <f t="shared" si="28"/>
        <v>0.89139487499835468</v>
      </c>
      <c r="Q49" s="107">
        <f t="shared" si="28"/>
        <v>0.46836278250225405</v>
      </c>
      <c r="R49" s="107">
        <f t="shared" ref="R49:AF49" si="29">Q17+R46-R17</f>
        <v>1.0719084999934694</v>
      </c>
      <c r="S49" s="107">
        <f t="shared" si="29"/>
        <v>-0.30528740999579895</v>
      </c>
      <c r="T49" s="107">
        <f t="shared" si="29"/>
        <v>1.3953106250046403</v>
      </c>
      <c r="U49" s="107">
        <f t="shared" si="29"/>
        <v>0.90721299999449911</v>
      </c>
      <c r="V49" s="107">
        <f t="shared" si="29"/>
        <v>0.23223434000465204</v>
      </c>
      <c r="W49" s="107">
        <f t="shared" si="29"/>
        <v>1.0424097500017524</v>
      </c>
      <c r="X49" s="107">
        <f t="shared" si="29"/>
        <v>0.14735218750047352</v>
      </c>
      <c r="Y49" s="107">
        <f t="shared" si="29"/>
        <v>1.4945591400000922</v>
      </c>
      <c r="Z49" s="107">
        <f t="shared" si="29"/>
        <v>2.1780925000020943</v>
      </c>
      <c r="AA49" s="107">
        <f t="shared" si="29"/>
        <v>-0.8906927500047459</v>
      </c>
      <c r="AB49" s="356">
        <f t="shared" si="29"/>
        <v>2.7017897499808896</v>
      </c>
      <c r="AC49" s="85">
        <f t="shared" si="29"/>
        <v>3.2170282000242878</v>
      </c>
      <c r="AD49" s="85">
        <f t="shared" si="29"/>
        <v>3.3087527691695868</v>
      </c>
      <c r="AE49" s="85">
        <f t="shared" si="29"/>
        <v>3.4046965641173301</v>
      </c>
      <c r="AF49" s="247">
        <f t="shared" si="29"/>
        <v>3.5050255491732969</v>
      </c>
    </row>
    <row r="51" spans="1:32" x14ac:dyDescent="0.2">
      <c r="X51" s="310"/>
    </row>
    <row r="52" spans="1:32" x14ac:dyDescent="0.2">
      <c r="W52" s="310"/>
      <c r="Y52" s="107"/>
      <c r="Z52" s="107"/>
    </row>
  </sheetData>
  <phoneticPr fontId="0" type="noConversion"/>
  <pageMargins left="0.51181102362204722" right="0.51181102362204722" top="0.98425196850393704" bottom="0.98425196850393704" header="0.51181102362204722" footer="0.51181102362204722"/>
  <pageSetup paperSize="5" scale="74" orientation="landscape" cellComments="asDisplayed" r:id="rId1"/>
  <headerFooter alignWithMargins="0">
    <oddFooter>&amp;L&amp;"Arial,Bold"&amp;F&amp;C&amp;A&amp;R&amp;D  &amp;T</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R69"/>
  <sheetViews>
    <sheetView workbookViewId="0">
      <pane ySplit="3" topLeftCell="A4" activePane="bottomLeft" state="frozen"/>
      <selection pane="bottomLeft" activeCell="D1" sqref="D1"/>
    </sheetView>
  </sheetViews>
  <sheetFormatPr baseColWidth="10" defaultColWidth="9.140625" defaultRowHeight="12.75" outlineLevelRow="1" x14ac:dyDescent="0.2"/>
  <cols>
    <col min="1" max="1" width="2.85546875" customWidth="1"/>
    <col min="2" max="2" width="58.28515625" customWidth="1"/>
    <col min="3" max="3" width="16.5703125" bestFit="1" customWidth="1"/>
    <col min="4" max="4" width="15.5703125" bestFit="1" customWidth="1"/>
    <col min="5" max="5" width="15" bestFit="1" customWidth="1"/>
    <col min="6" max="6" width="3.28515625" customWidth="1"/>
    <col min="7" max="7" width="7.7109375" customWidth="1"/>
    <col min="8" max="8" width="8" customWidth="1"/>
    <col min="9" max="9" width="3.28515625" customWidth="1"/>
    <col min="10" max="10" width="7.7109375" customWidth="1"/>
    <col min="11" max="11" width="7.85546875" customWidth="1"/>
    <col min="12" max="12" width="3.7109375" customWidth="1"/>
    <col min="16" max="16" width="14.5703125" bestFit="1" customWidth="1"/>
    <col min="17" max="17" width="12.85546875" bestFit="1" customWidth="1"/>
    <col min="18" max="18" width="14.5703125" bestFit="1" customWidth="1"/>
  </cols>
  <sheetData>
    <row r="1" spans="1:12" x14ac:dyDescent="0.2">
      <c r="A1" s="2" t="s">
        <v>373</v>
      </c>
      <c r="B1" s="2"/>
    </row>
    <row r="2" spans="1:12" x14ac:dyDescent="0.2">
      <c r="A2" s="2" t="s">
        <v>374</v>
      </c>
      <c r="B2" s="2"/>
    </row>
    <row r="3" spans="1:12" x14ac:dyDescent="0.2">
      <c r="A3" s="44" t="s">
        <v>466</v>
      </c>
      <c r="B3" s="2"/>
    </row>
    <row r="4" spans="1:12" x14ac:dyDescent="0.2">
      <c r="C4" s="343" t="s">
        <v>375</v>
      </c>
      <c r="D4" s="342"/>
      <c r="E4" s="343"/>
      <c r="G4" s="576" t="s">
        <v>377</v>
      </c>
      <c r="H4" s="576"/>
      <c r="I4" s="16"/>
      <c r="J4" s="576" t="s">
        <v>378</v>
      </c>
      <c r="K4" s="576"/>
    </row>
    <row r="5" spans="1:12" x14ac:dyDescent="0.2">
      <c r="C5" s="343" t="s">
        <v>376</v>
      </c>
      <c r="D5" s="343">
        <v>2016</v>
      </c>
      <c r="E5" s="343">
        <v>2015</v>
      </c>
      <c r="G5" s="287" t="s">
        <v>379</v>
      </c>
      <c r="H5" s="287" t="s">
        <v>380</v>
      </c>
      <c r="J5" s="287" t="s">
        <v>379</v>
      </c>
      <c r="K5" s="287" t="s">
        <v>380</v>
      </c>
    </row>
    <row r="6" spans="1:12" x14ac:dyDescent="0.2">
      <c r="C6" s="116"/>
      <c r="D6" s="116"/>
    </row>
    <row r="7" spans="1:12" x14ac:dyDescent="0.2">
      <c r="B7" s="3" t="s">
        <v>218</v>
      </c>
      <c r="C7" s="122">
        <v>1412</v>
      </c>
      <c r="D7" s="122">
        <f>ROUND(Summary!AB30,)</f>
        <v>1455</v>
      </c>
      <c r="E7" s="122">
        <f>ROUND(Summary!AA30,)</f>
        <v>1465</v>
      </c>
      <c r="G7" s="122">
        <f>D7-E7</f>
        <v>-10</v>
      </c>
      <c r="H7" s="288">
        <f>G7/E7</f>
        <v>-6.8259385665529011E-3</v>
      </c>
      <c r="J7" s="122">
        <f>D7-C7</f>
        <v>43</v>
      </c>
      <c r="K7" s="288">
        <f>J7/C7</f>
        <v>3.0453257790368272E-2</v>
      </c>
      <c r="L7" s="294" t="s">
        <v>383</v>
      </c>
    </row>
    <row r="8" spans="1:12" x14ac:dyDescent="0.2">
      <c r="B8" s="3" t="s">
        <v>219</v>
      </c>
      <c r="C8" s="131">
        <v>-373</v>
      </c>
      <c r="D8" s="131">
        <f>ROUND(Summary!AB31,0)</f>
        <v>-374</v>
      </c>
      <c r="E8" s="122">
        <f>ROUND(Summary!AA31,0)</f>
        <v>-164</v>
      </c>
      <c r="G8" s="122">
        <f t="shared" ref="G8:G16" si="0">D8-E8</f>
        <v>-210</v>
      </c>
      <c r="H8" s="288">
        <f>G8/E8</f>
        <v>1.2804878048780488</v>
      </c>
      <c r="I8" s="294" t="s">
        <v>384</v>
      </c>
      <c r="J8" s="122">
        <f>D8-C8</f>
        <v>-1</v>
      </c>
      <c r="K8" s="288">
        <f>J8/C8</f>
        <v>2.6809651474530832E-3</v>
      </c>
    </row>
    <row r="9" spans="1:12" x14ac:dyDescent="0.2">
      <c r="B9" s="3" t="s">
        <v>390</v>
      </c>
      <c r="C9" s="131">
        <v>-935</v>
      </c>
      <c r="D9" s="131">
        <f>ROUND(Summary!AB32,0)</f>
        <v>-936</v>
      </c>
      <c r="E9" s="122">
        <f>ROUND(Summary!AA32,0)</f>
        <v>-703</v>
      </c>
      <c r="G9" s="122">
        <f t="shared" si="0"/>
        <v>-233</v>
      </c>
      <c r="H9" s="288">
        <f>G9/E9</f>
        <v>0.33143669985775248</v>
      </c>
      <c r="I9" s="294" t="s">
        <v>384</v>
      </c>
      <c r="J9" s="122">
        <f>D9-C9</f>
        <v>-1</v>
      </c>
      <c r="K9" s="288">
        <f>J9/C9</f>
        <v>1.0695187165775401E-3</v>
      </c>
    </row>
    <row r="10" spans="1:12" x14ac:dyDescent="0.2">
      <c r="B10" s="3" t="s">
        <v>222</v>
      </c>
      <c r="C10" s="122"/>
      <c r="D10" s="122">
        <f>ROUND(Summary!AB33,0)</f>
        <v>0</v>
      </c>
      <c r="E10" s="122">
        <f>ROUND(Summary!AA33,0)</f>
        <v>0</v>
      </c>
      <c r="G10" s="122">
        <f t="shared" si="0"/>
        <v>0</v>
      </c>
      <c r="H10" s="122"/>
      <c r="I10" s="295"/>
      <c r="J10" s="122"/>
      <c r="K10" s="122"/>
    </row>
    <row r="11" spans="1:12" x14ac:dyDescent="0.2">
      <c r="B11" s="3" t="s">
        <v>206</v>
      </c>
      <c r="C11" s="122"/>
      <c r="D11" s="122">
        <f>ROUND(Summary!AB34,0)</f>
        <v>0</v>
      </c>
      <c r="E11" s="122">
        <f>ROUND(Summary!AA34,0)</f>
        <v>0</v>
      </c>
      <c r="G11" s="122">
        <f t="shared" si="0"/>
        <v>0</v>
      </c>
      <c r="H11" s="122"/>
      <c r="I11" s="295"/>
      <c r="J11" s="122"/>
      <c r="K11" s="122"/>
    </row>
    <row r="12" spans="1:12" outlineLevel="1" x14ac:dyDescent="0.2">
      <c r="B12" s="122" t="s">
        <v>284</v>
      </c>
      <c r="C12" s="122"/>
      <c r="D12" s="122">
        <f>ROUND(Summary!AB35,0)</f>
        <v>0</v>
      </c>
      <c r="E12" s="122">
        <f>ROUND(Summary!AA35,0)</f>
        <v>0</v>
      </c>
      <c r="G12" s="122">
        <f t="shared" si="0"/>
        <v>0</v>
      </c>
      <c r="H12" s="122"/>
      <c r="I12" s="295"/>
      <c r="J12" s="122"/>
      <c r="K12" s="122"/>
    </row>
    <row r="13" spans="1:12" x14ac:dyDescent="0.2">
      <c r="B13" s="122" t="s">
        <v>247</v>
      </c>
      <c r="C13" s="122"/>
      <c r="D13" s="122">
        <f>ROUND(Summary!AB36,0)</f>
        <v>0</v>
      </c>
      <c r="E13" s="122">
        <f>ROUND(Summary!AA36,0)</f>
        <v>0</v>
      </c>
      <c r="G13" s="122">
        <f t="shared" si="0"/>
        <v>0</v>
      </c>
      <c r="H13" s="122"/>
      <c r="I13" s="295"/>
      <c r="J13" s="122"/>
      <c r="K13" s="122"/>
    </row>
    <row r="14" spans="1:12" outlineLevel="1" x14ac:dyDescent="0.2">
      <c r="B14" s="122" t="s">
        <v>246</v>
      </c>
      <c r="C14" s="122"/>
      <c r="D14" s="122">
        <f>ROUND(Summary!AB37,0)</f>
        <v>0</v>
      </c>
      <c r="E14" s="122">
        <f>ROUND(Summary!AA37,0)</f>
        <v>0</v>
      </c>
      <c r="G14" s="122">
        <f t="shared" si="0"/>
        <v>0</v>
      </c>
      <c r="H14" s="122"/>
      <c r="I14" s="295"/>
      <c r="J14" s="122"/>
      <c r="K14" s="122"/>
    </row>
    <row r="15" spans="1:12" x14ac:dyDescent="0.2">
      <c r="B15" s="122" t="s">
        <v>342</v>
      </c>
      <c r="C15" s="122">
        <v>-6</v>
      </c>
      <c r="D15" s="122">
        <f>ROUND(Summary!AB38,0)</f>
        <v>-6</v>
      </c>
      <c r="E15" s="122">
        <f>ROUND(Summary!AA38,0)</f>
        <v>-6</v>
      </c>
      <c r="G15" s="122">
        <f t="shared" si="0"/>
        <v>0</v>
      </c>
      <c r="H15" s="288">
        <f>G15/E15</f>
        <v>0</v>
      </c>
      <c r="I15" s="295"/>
      <c r="J15" s="122">
        <f>D15-C15</f>
        <v>0</v>
      </c>
      <c r="K15" s="288">
        <f>J15/C15</f>
        <v>0</v>
      </c>
    </row>
    <row r="16" spans="1:12" x14ac:dyDescent="0.2">
      <c r="B16" s="122" t="s">
        <v>237</v>
      </c>
      <c r="C16" s="145">
        <v>-27</v>
      </c>
      <c r="D16" s="145">
        <f>ROUND(Summary!AB39,0)</f>
        <v>-27</v>
      </c>
      <c r="E16" s="122">
        <f>ROUND(Summary!AA39,0)</f>
        <v>-25</v>
      </c>
      <c r="G16" s="122">
        <f t="shared" si="0"/>
        <v>-2</v>
      </c>
      <c r="H16" s="288">
        <f>G16/E16</f>
        <v>0.08</v>
      </c>
      <c r="I16" s="294"/>
      <c r="J16" s="122">
        <f>D16-C16</f>
        <v>0</v>
      </c>
      <c r="K16" s="288">
        <f>J16/C16</f>
        <v>0</v>
      </c>
    </row>
    <row r="17" spans="2:12" x14ac:dyDescent="0.2">
      <c r="B17" s="304" t="s">
        <v>417</v>
      </c>
      <c r="C17" s="145"/>
      <c r="D17" s="145">
        <v>-2</v>
      </c>
      <c r="E17" s="145">
        <v>-3</v>
      </c>
      <c r="G17" s="122">
        <f t="shared" ref="G17" si="1">D17-E17</f>
        <v>1</v>
      </c>
      <c r="H17" s="288">
        <f>G17/E17</f>
        <v>-0.33333333333333331</v>
      </c>
      <c r="I17" s="294"/>
      <c r="J17" s="122">
        <f>D17-C17</f>
        <v>-2</v>
      </c>
      <c r="K17" s="288" t="e">
        <f>J17/C17</f>
        <v>#DIV/0!</v>
      </c>
    </row>
    <row r="18" spans="2:12" ht="15.75" thickBot="1" x14ac:dyDescent="0.25">
      <c r="B18" s="52" t="s">
        <v>306</v>
      </c>
      <c r="C18" s="150">
        <f>SUM(C7:C16)</f>
        <v>71</v>
      </c>
      <c r="D18" s="150">
        <f>SUM(D7:D17)</f>
        <v>110</v>
      </c>
      <c r="E18" s="67">
        <f>SUM(E7:E17)</f>
        <v>564</v>
      </c>
      <c r="G18" s="66">
        <f>SUM(G7:G17)</f>
        <v>-454</v>
      </c>
      <c r="H18" s="289">
        <f>G18/E18</f>
        <v>-0.80496453900709219</v>
      </c>
      <c r="I18" s="295"/>
      <c r="J18" s="66">
        <f>SUM(J7:J17)</f>
        <v>39</v>
      </c>
      <c r="K18" s="289">
        <f>J18/C18</f>
        <v>0.54929577464788737</v>
      </c>
      <c r="L18" s="290" t="s">
        <v>381</v>
      </c>
    </row>
    <row r="19" spans="2:12" ht="13.5" thickTop="1" x14ac:dyDescent="0.2">
      <c r="C19" s="116"/>
      <c r="D19" s="116"/>
      <c r="I19" s="295"/>
    </row>
    <row r="20" spans="2:12" x14ac:dyDescent="0.2">
      <c r="C20" s="116"/>
      <c r="D20" s="342"/>
      <c r="E20" s="287"/>
      <c r="G20" s="576" t="s">
        <v>377</v>
      </c>
      <c r="H20" s="576"/>
      <c r="I20" s="295"/>
    </row>
    <row r="21" spans="2:12" x14ac:dyDescent="0.2">
      <c r="C21" s="116"/>
      <c r="D21" s="343">
        <v>2016</v>
      </c>
      <c r="E21" s="343">
        <v>2015</v>
      </c>
      <c r="G21" s="287" t="s">
        <v>379</v>
      </c>
      <c r="H21" s="287" t="s">
        <v>380</v>
      </c>
      <c r="I21" s="295"/>
    </row>
    <row r="22" spans="2:12" x14ac:dyDescent="0.2">
      <c r="C22" s="116"/>
      <c r="D22" s="343"/>
      <c r="E22" s="343"/>
      <c r="G22" s="287"/>
      <c r="H22" s="287"/>
      <c r="I22" s="295"/>
    </row>
    <row r="23" spans="2:12" x14ac:dyDescent="0.2">
      <c r="B23" s="3" t="s">
        <v>197</v>
      </c>
      <c r="C23" s="128"/>
      <c r="D23" s="122">
        <f>ROUND(Summary!AB8,0)</f>
        <v>58338</v>
      </c>
      <c r="E23" s="122">
        <f>Summary!AA8</f>
        <v>57065.5</v>
      </c>
      <c r="G23" s="122">
        <f>D23-E23</f>
        <v>1272.5</v>
      </c>
      <c r="H23" s="288">
        <f>G23/E23</f>
        <v>2.2298937186215839E-2</v>
      </c>
      <c r="I23" s="294" t="s">
        <v>385</v>
      </c>
      <c r="J23" s="128"/>
      <c r="K23" s="292"/>
    </row>
    <row r="24" spans="2:12" hidden="1" outlineLevel="1" x14ac:dyDescent="0.2">
      <c r="B24" s="3" t="s">
        <v>206</v>
      </c>
      <c r="C24" s="128"/>
      <c r="D24" s="122">
        <f>Summary!X9</f>
        <v>0</v>
      </c>
      <c r="E24" s="122">
        <f>Summary!W9</f>
        <v>0</v>
      </c>
      <c r="G24" s="122">
        <f t="shared" ref="G24:G31" si="2">D24-E24</f>
        <v>0</v>
      </c>
      <c r="H24" s="288" t="e">
        <f t="shared" ref="H24:H29" si="3">G24/E24</f>
        <v>#DIV/0!</v>
      </c>
      <c r="I24" s="295"/>
      <c r="J24" s="128"/>
      <c r="K24" s="292"/>
    </row>
    <row r="25" spans="2:12" hidden="1" outlineLevel="1" x14ac:dyDescent="0.2">
      <c r="B25" s="3" t="s">
        <v>284</v>
      </c>
      <c r="C25" s="128"/>
      <c r="D25" s="122">
        <f>Summary!X10</f>
        <v>0</v>
      </c>
      <c r="E25" s="122">
        <f>Summary!W10</f>
        <v>0</v>
      </c>
      <c r="G25" s="122">
        <f t="shared" si="2"/>
        <v>0</v>
      </c>
      <c r="H25" s="288" t="e">
        <f t="shared" si="3"/>
        <v>#DIV/0!</v>
      </c>
      <c r="I25" s="295"/>
      <c r="J25" s="128"/>
      <c r="K25" s="292"/>
    </row>
    <row r="26" spans="2:12" collapsed="1" x14ac:dyDescent="0.2">
      <c r="B26" s="3" t="s">
        <v>198</v>
      </c>
      <c r="C26" s="128"/>
      <c r="D26" s="122">
        <f>ROUND(Summary!AB11,0)</f>
        <v>-78502</v>
      </c>
      <c r="E26" s="122">
        <f>Summary!AA11</f>
        <v>-71551.051000000007</v>
      </c>
      <c r="G26" s="122">
        <f>D26-E26</f>
        <v>-6950.9489999999932</v>
      </c>
      <c r="H26" s="288">
        <f t="shared" si="3"/>
        <v>9.7146707181142489E-2</v>
      </c>
      <c r="I26" s="294" t="s">
        <v>387</v>
      </c>
      <c r="J26" s="128"/>
      <c r="K26" s="292"/>
    </row>
    <row r="27" spans="2:12" x14ac:dyDescent="0.2">
      <c r="B27" s="3" t="s">
        <v>391</v>
      </c>
      <c r="C27" s="128"/>
      <c r="D27" s="122">
        <f>ROUND(Summary!AB12,0)</f>
        <v>9002</v>
      </c>
      <c r="E27" s="122">
        <f>Summary!AA12</f>
        <v>4827.6877089754362</v>
      </c>
      <c r="G27" s="122">
        <f t="shared" si="2"/>
        <v>4174.3122910245638</v>
      </c>
      <c r="H27" s="288">
        <f t="shared" si="3"/>
        <v>0.86466079470381985</v>
      </c>
      <c r="I27" s="294" t="s">
        <v>388</v>
      </c>
      <c r="J27" s="128"/>
      <c r="K27" s="292"/>
    </row>
    <row r="28" spans="2:12" x14ac:dyDescent="0.2">
      <c r="B28" s="3" t="s">
        <v>203</v>
      </c>
      <c r="C28" s="128"/>
      <c r="D28" s="122">
        <f>ROUND(Summary!AB13,0)</f>
        <v>895</v>
      </c>
      <c r="E28" s="122">
        <f>Summary!AA13</f>
        <v>881.60331555883761</v>
      </c>
      <c r="G28" s="122">
        <f t="shared" si="2"/>
        <v>13.396684441162392</v>
      </c>
      <c r="H28" s="288">
        <f t="shared" si="3"/>
        <v>1.5195819031908243E-2</v>
      </c>
      <c r="I28" s="290" t="s">
        <v>381</v>
      </c>
      <c r="J28" s="128"/>
      <c r="K28" s="292"/>
    </row>
    <row r="29" spans="2:12" x14ac:dyDescent="0.2">
      <c r="B29" s="3" t="s">
        <v>199</v>
      </c>
      <c r="C29" s="128"/>
      <c r="D29" s="122">
        <f>ROUND(Summary!AB14,0)</f>
        <v>19</v>
      </c>
      <c r="E29" s="122">
        <f>Summary!AA14</f>
        <v>18.367251499999998</v>
      </c>
      <c r="G29" s="122">
        <f t="shared" si="2"/>
        <v>0.63274850000000171</v>
      </c>
      <c r="H29" s="288">
        <f t="shared" si="3"/>
        <v>3.4449819560645849E-2</v>
      </c>
      <c r="I29" s="290" t="s">
        <v>381</v>
      </c>
      <c r="J29" s="128"/>
      <c r="K29" s="292"/>
    </row>
    <row r="30" spans="2:12" outlineLevel="1" x14ac:dyDescent="0.2">
      <c r="B30" s="3" t="s">
        <v>248</v>
      </c>
      <c r="C30" s="128"/>
      <c r="D30" s="122">
        <f>ROUND(Summary!AB15,0)</f>
        <v>0</v>
      </c>
      <c r="E30" s="122">
        <f>Summary!AA15</f>
        <v>0</v>
      </c>
      <c r="G30" s="122">
        <f t="shared" si="2"/>
        <v>0</v>
      </c>
      <c r="H30" s="122"/>
      <c r="I30" s="290" t="s">
        <v>381</v>
      </c>
      <c r="J30" s="128"/>
      <c r="K30" s="292"/>
    </row>
    <row r="31" spans="2:12" x14ac:dyDescent="0.2">
      <c r="B31" s="3" t="s">
        <v>249</v>
      </c>
      <c r="C31" s="128"/>
      <c r="D31" s="122">
        <f>ROUND(Summary!AB16,0)</f>
        <v>254</v>
      </c>
      <c r="E31" s="122">
        <f>Summary!AA16</f>
        <v>255.87371314285701</v>
      </c>
      <c r="G31" s="122">
        <f t="shared" si="2"/>
        <v>-1.8737131428570137</v>
      </c>
      <c r="H31" s="288">
        <f>G31/E31</f>
        <v>-7.3228043625212088E-3</v>
      </c>
      <c r="I31" s="290" t="s">
        <v>381</v>
      </c>
      <c r="J31" s="128"/>
      <c r="K31" s="292"/>
    </row>
    <row r="32" spans="2:12" x14ac:dyDescent="0.2">
      <c r="B32" s="9" t="s">
        <v>405</v>
      </c>
      <c r="C32" s="128"/>
      <c r="D32" s="122">
        <f>1</f>
        <v>1</v>
      </c>
      <c r="E32" s="122">
        <v>-1</v>
      </c>
      <c r="G32" s="122">
        <f t="shared" ref="G32" si="4">D32-E32</f>
        <v>2</v>
      </c>
      <c r="H32" s="288">
        <f>G32/E32</f>
        <v>-2</v>
      </c>
      <c r="I32" s="290" t="s">
        <v>381</v>
      </c>
      <c r="J32" s="128"/>
      <c r="K32" s="292"/>
    </row>
    <row r="33" spans="1:14" ht="15.75" thickBot="1" x14ac:dyDescent="0.25">
      <c r="B33" s="52" t="s">
        <v>389</v>
      </c>
      <c r="C33" s="128"/>
      <c r="D33" s="149">
        <f>SUM(D23:D32)</f>
        <v>-9993</v>
      </c>
      <c r="E33" s="338">
        <f>SUM(E23:E32)</f>
        <v>-8503.0190108228762</v>
      </c>
      <c r="G33" s="149">
        <f>SUM(G23:G31)</f>
        <v>-1491.980989177124</v>
      </c>
      <c r="H33" s="293">
        <f>G33/E33</f>
        <v>0.17546485398634173</v>
      </c>
      <c r="J33" s="128"/>
      <c r="K33" s="292"/>
    </row>
    <row r="34" spans="1:14" ht="13.5" thickTop="1" x14ac:dyDescent="0.2">
      <c r="C34" s="122"/>
      <c r="D34" s="122"/>
      <c r="E34" s="122"/>
      <c r="G34" s="291"/>
      <c r="H34" s="292"/>
      <c r="I34" s="116"/>
      <c r="J34" s="122"/>
      <c r="K34" s="116"/>
    </row>
    <row r="35" spans="1:14" x14ac:dyDescent="0.2">
      <c r="A35" s="290" t="s">
        <v>381</v>
      </c>
      <c r="B35" s="3" t="s">
        <v>382</v>
      </c>
      <c r="C35" s="116"/>
      <c r="E35" s="116"/>
    </row>
    <row r="37" spans="1:14" x14ac:dyDescent="0.2">
      <c r="A37" s="28" t="s">
        <v>386</v>
      </c>
    </row>
    <row r="39" spans="1:14" x14ac:dyDescent="0.2">
      <c r="A39" s="464" t="s">
        <v>383</v>
      </c>
      <c r="B39" s="196" t="s">
        <v>469</v>
      </c>
      <c r="C39" s="116"/>
      <c r="D39" s="116"/>
      <c r="E39" s="116"/>
      <c r="F39" s="116"/>
      <c r="G39" s="116"/>
      <c r="H39" s="116"/>
      <c r="I39" s="116"/>
      <c r="J39" s="116"/>
      <c r="K39" s="116"/>
      <c r="L39" s="116"/>
    </row>
    <row r="40" spans="1:14" x14ac:dyDescent="0.2">
      <c r="A40" s="464" t="s">
        <v>384</v>
      </c>
      <c r="B40" s="577" t="s">
        <v>461</v>
      </c>
      <c r="C40" s="578"/>
      <c r="D40" s="578"/>
      <c r="E40" s="578"/>
      <c r="F40" s="578"/>
      <c r="G40" s="578"/>
      <c r="H40" s="578"/>
      <c r="I40" s="578"/>
      <c r="J40" s="578"/>
      <c r="K40" s="578"/>
      <c r="L40" s="578"/>
    </row>
    <row r="41" spans="1:14" x14ac:dyDescent="0.2">
      <c r="A41" s="464"/>
      <c r="B41" s="578"/>
      <c r="C41" s="578"/>
      <c r="D41" s="578"/>
      <c r="E41" s="578"/>
      <c r="F41" s="578"/>
      <c r="G41" s="578"/>
      <c r="H41" s="578"/>
      <c r="I41" s="578"/>
      <c r="J41" s="578"/>
      <c r="K41" s="578"/>
      <c r="L41" s="578"/>
    </row>
    <row r="42" spans="1:14" x14ac:dyDescent="0.2">
      <c r="A42" s="464" t="s">
        <v>385</v>
      </c>
      <c r="B42" s="196" t="s">
        <v>462</v>
      </c>
      <c r="C42" s="116"/>
      <c r="D42" s="116"/>
      <c r="E42" s="116"/>
      <c r="F42" s="116"/>
      <c r="G42" s="116"/>
      <c r="H42" s="116"/>
      <c r="I42" s="116"/>
      <c r="J42" s="116"/>
      <c r="K42" s="116"/>
      <c r="L42" s="116"/>
    </row>
    <row r="43" spans="1:14" x14ac:dyDescent="0.2">
      <c r="A43" s="464" t="s">
        <v>387</v>
      </c>
      <c r="B43" s="196" t="s">
        <v>463</v>
      </c>
      <c r="C43" s="116"/>
      <c r="D43" s="116"/>
      <c r="E43" s="116"/>
      <c r="F43" s="116"/>
      <c r="G43" s="116"/>
      <c r="H43" s="116"/>
      <c r="I43" s="116"/>
      <c r="J43" s="116"/>
      <c r="K43" s="116"/>
      <c r="L43" s="116"/>
    </row>
    <row r="44" spans="1:14" x14ac:dyDescent="0.2">
      <c r="A44" s="464" t="s">
        <v>388</v>
      </c>
      <c r="B44" s="465" t="s">
        <v>464</v>
      </c>
      <c r="C44" s="466"/>
      <c r="D44" s="466"/>
      <c r="E44" s="466"/>
      <c r="F44" s="466"/>
      <c r="G44" s="466"/>
      <c r="H44" s="466"/>
      <c r="I44" s="466"/>
      <c r="J44" s="466"/>
      <c r="K44" s="466"/>
      <c r="L44" s="466"/>
    </row>
    <row r="45" spans="1:14" x14ac:dyDescent="0.2">
      <c r="A45" s="116"/>
      <c r="B45" s="466"/>
      <c r="C45" s="466"/>
      <c r="D45" s="466"/>
      <c r="E45" s="466"/>
      <c r="F45" s="466"/>
      <c r="G45" s="466"/>
      <c r="H45" s="466"/>
      <c r="I45" s="466"/>
      <c r="J45" s="466"/>
      <c r="K45" s="466"/>
      <c r="L45" s="466"/>
    </row>
    <row r="46" spans="1:14" ht="12" customHeight="1" x14ac:dyDescent="0.2">
      <c r="A46" s="579" t="s">
        <v>465</v>
      </c>
      <c r="B46" s="578"/>
      <c r="C46" s="578"/>
      <c r="D46" s="578"/>
      <c r="E46" s="578"/>
      <c r="F46" s="578"/>
      <c r="G46" s="578"/>
      <c r="H46" s="578"/>
      <c r="I46" s="578"/>
      <c r="J46" s="578"/>
      <c r="K46" s="578"/>
      <c r="L46" s="466"/>
      <c r="N46" s="339"/>
    </row>
    <row r="47" spans="1:14" ht="26.25" customHeight="1" x14ac:dyDescent="0.2">
      <c r="A47" s="578"/>
      <c r="B47" s="578"/>
      <c r="C47" s="578"/>
      <c r="D47" s="578"/>
      <c r="E47" s="578"/>
      <c r="F47" s="578"/>
      <c r="G47" s="578"/>
      <c r="H47" s="578"/>
      <c r="I47" s="578"/>
      <c r="J47" s="578"/>
      <c r="K47" s="578"/>
      <c r="L47" s="466"/>
      <c r="N47" s="339"/>
    </row>
    <row r="48" spans="1:14" x14ac:dyDescent="0.2">
      <c r="A48" s="464"/>
      <c r="B48" s="116"/>
      <c r="C48" s="116"/>
      <c r="D48" s="116"/>
      <c r="E48" s="116"/>
      <c r="F48" s="116"/>
      <c r="G48" s="116"/>
      <c r="H48" s="116"/>
      <c r="I48" s="116"/>
      <c r="J48" s="116"/>
      <c r="K48" s="116"/>
      <c r="L48" s="116"/>
      <c r="N48" s="339"/>
    </row>
    <row r="49" spans="2:18" s="116" customFormat="1" x14ac:dyDescent="0.2">
      <c r="N49" s="196"/>
    </row>
    <row r="50" spans="2:18" s="116" customFormat="1" x14ac:dyDescent="0.2">
      <c r="B50" s="215" t="s">
        <v>392</v>
      </c>
      <c r="C50" s="215">
        <v>237610</v>
      </c>
      <c r="D50" s="215">
        <v>237620</v>
      </c>
      <c r="N50" s="171"/>
    </row>
    <row r="51" spans="2:18" s="116" customFormat="1" x14ac:dyDescent="0.2">
      <c r="B51" s="196" t="s">
        <v>460</v>
      </c>
      <c r="C51" s="427">
        <v>8667523127</v>
      </c>
      <c r="D51" s="427">
        <v>-164931053</v>
      </c>
      <c r="E51" s="107">
        <f t="shared" ref="E51:E56" si="5">SUM(C51:D51)</f>
        <v>8502592074</v>
      </c>
      <c r="P51" s="427"/>
      <c r="Q51" s="427"/>
      <c r="R51" s="291"/>
    </row>
    <row r="52" spans="2:18" s="116" customFormat="1" x14ac:dyDescent="0.2">
      <c r="B52" s="116" t="s">
        <v>467</v>
      </c>
      <c r="C52" s="427">
        <f>-liability!AB19</f>
        <v>10146996452.755217</v>
      </c>
      <c r="D52" s="427">
        <f>-'RCA liab'!W13</f>
        <v>-153051398.75</v>
      </c>
      <c r="E52" s="107">
        <f t="shared" si="5"/>
        <v>9993945054.0052166</v>
      </c>
      <c r="P52" s="427"/>
      <c r="Q52" s="427"/>
      <c r="R52" s="291"/>
    </row>
    <row r="53" spans="2:18" s="116" customFormat="1" x14ac:dyDescent="0.2">
      <c r="B53" s="116" t="s">
        <v>393</v>
      </c>
      <c r="C53" s="427">
        <f>liability!AB23*1000000</f>
        <v>-1598238087.3</v>
      </c>
      <c r="D53" s="427">
        <f>'RCA liab'!W16*1000000</f>
        <v>-2668959</v>
      </c>
      <c r="E53" s="107">
        <f t="shared" si="5"/>
        <v>-1600907046.3</v>
      </c>
      <c r="P53" s="427"/>
      <c r="Q53" s="427"/>
      <c r="R53" s="291"/>
    </row>
    <row r="54" spans="2:18" s="116" customFormat="1" ht="13.5" thickBot="1" x14ac:dyDescent="0.25">
      <c r="B54" s="116" t="s">
        <v>396</v>
      </c>
      <c r="C54" s="107">
        <f>C51-C52-C53</f>
        <v>118764761.54478335</v>
      </c>
      <c r="D54" s="107">
        <f>D51-D52-D53</f>
        <v>-9210695.25</v>
      </c>
      <c r="E54" s="427">
        <f>SUM(C54:D54)</f>
        <v>109554066.29478335</v>
      </c>
      <c r="P54" s="107"/>
      <c r="Q54" s="107"/>
      <c r="R54" s="571"/>
    </row>
    <row r="55" spans="2:18" s="116" customFormat="1" ht="13.5" thickBot="1" x14ac:dyDescent="0.25">
      <c r="B55" s="116" t="s">
        <v>395</v>
      </c>
      <c r="C55" s="107">
        <f>ROUND(expense!AB21,0)</f>
        <v>118324044</v>
      </c>
      <c r="D55" s="107">
        <f>ROUND('RCA exp'!V17-3000000,0)</f>
        <v>-8141251</v>
      </c>
      <c r="E55" s="417">
        <f t="shared" si="5"/>
        <v>110182793</v>
      </c>
      <c r="P55" s="107"/>
      <c r="Q55" s="107"/>
      <c r="R55" s="572"/>
    </row>
    <row r="56" spans="2:18" s="116" customFormat="1" x14ac:dyDescent="0.2">
      <c r="B56" s="116" t="s">
        <v>394</v>
      </c>
      <c r="C56" s="107">
        <f>C54-C55</f>
        <v>440717.54478335381</v>
      </c>
      <c r="D56" s="107">
        <f>D54-D55</f>
        <v>-1069444.25</v>
      </c>
      <c r="E56" s="423">
        <f t="shared" si="5"/>
        <v>-628726.70521664619</v>
      </c>
      <c r="F56" s="116" t="s">
        <v>421</v>
      </c>
      <c r="P56" s="107"/>
      <c r="Q56" s="107"/>
      <c r="R56" s="573"/>
    </row>
    <row r="57" spans="2:18" s="116" customFormat="1" x14ac:dyDescent="0.2">
      <c r="R57" s="172"/>
    </row>
    <row r="58" spans="2:18" s="116" customFormat="1" x14ac:dyDescent="0.2"/>
    <row r="59" spans="2:18" s="116" customFormat="1" x14ac:dyDescent="0.2">
      <c r="B59" s="116" t="str">
        <f>B51</f>
        <v>Asset (Obligation) March 31, 2015 Per IFIS</v>
      </c>
      <c r="C59" s="107">
        <f>C51</f>
        <v>8667523127</v>
      </c>
      <c r="D59" s="107">
        <f>D51</f>
        <v>-164931053</v>
      </c>
      <c r="E59" s="107">
        <f>SUM(C59:D59)</f>
        <v>8502592074</v>
      </c>
      <c r="P59" s="107"/>
      <c r="Q59" s="107"/>
      <c r="R59" s="107"/>
    </row>
    <row r="60" spans="2:18" s="116" customFormat="1" ht="12.75" hidden="1" customHeight="1" x14ac:dyDescent="0.2"/>
    <row r="61" spans="2:18" s="116" customFormat="1" x14ac:dyDescent="0.2">
      <c r="B61" s="116" t="s">
        <v>422</v>
      </c>
      <c r="C61" s="107">
        <f>-C53</f>
        <v>1598238087.3</v>
      </c>
      <c r="D61" s="107">
        <f>-D53</f>
        <v>2668959</v>
      </c>
      <c r="E61" s="107">
        <f>SUM(C61:D61)</f>
        <v>1600907046.3</v>
      </c>
      <c r="P61" s="107"/>
      <c r="Q61" s="107"/>
      <c r="R61" s="107"/>
    </row>
    <row r="62" spans="2:18" s="116" customFormat="1" x14ac:dyDescent="0.2">
      <c r="B62" s="116" t="s">
        <v>423</v>
      </c>
      <c r="C62" s="107">
        <f>-C55</f>
        <v>-118324044</v>
      </c>
      <c r="D62" s="107">
        <f>-D55</f>
        <v>8141251</v>
      </c>
      <c r="E62" s="107">
        <f t="shared" ref="E62:E63" si="6">SUM(C62:D62)</f>
        <v>-110182793</v>
      </c>
      <c r="P62" s="291"/>
      <c r="Q62" s="291"/>
      <c r="R62" s="291"/>
    </row>
    <row r="63" spans="2:18" s="116" customFormat="1" x14ac:dyDescent="0.2">
      <c r="B63" s="215" t="s">
        <v>468</v>
      </c>
      <c r="C63" s="420">
        <f>SUM(C59:C62)</f>
        <v>10147437170.299999</v>
      </c>
      <c r="D63" s="419">
        <f>SUM(D59:D62)</f>
        <v>-154120843</v>
      </c>
      <c r="E63" s="418">
        <f t="shared" si="6"/>
        <v>9993316327.2999992</v>
      </c>
      <c r="P63" s="570"/>
      <c r="Q63" s="570"/>
      <c r="R63" s="570"/>
    </row>
    <row r="64" spans="2:18" s="116" customFormat="1" x14ac:dyDescent="0.2"/>
    <row r="65" s="116" customFormat="1" x14ac:dyDescent="0.2"/>
    <row r="66" s="116" customFormat="1" x14ac:dyDescent="0.2"/>
    <row r="67" s="116" customFormat="1" x14ac:dyDescent="0.2"/>
    <row r="68" s="116" customFormat="1" x14ac:dyDescent="0.2"/>
    <row r="69" s="116" customFormat="1" x14ac:dyDescent="0.2"/>
  </sheetData>
  <mergeCells count="5">
    <mergeCell ref="G4:H4"/>
    <mergeCell ref="J4:K4"/>
    <mergeCell ref="G20:H20"/>
    <mergeCell ref="B40:L41"/>
    <mergeCell ref="A46:K47"/>
  </mergeCells>
  <phoneticPr fontId="18" type="noConversion"/>
  <pageMargins left="0.75" right="0.75" top="1" bottom="1" header="0.5" footer="0.5"/>
  <pageSetup scale="59"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CE49"/>
  <sheetViews>
    <sheetView workbookViewId="0">
      <pane xSplit="2" ySplit="3" topLeftCell="X4" activePane="bottomRight" state="frozen"/>
      <selection activeCell="AD1" sqref="AD1"/>
      <selection pane="topRight" activeCell="AD1" sqref="AD1"/>
      <selection pane="bottomLeft" activeCell="AD1" sqref="AD1"/>
      <selection pane="bottomRight" activeCell="X23" sqref="X23:AG23"/>
    </sheetView>
  </sheetViews>
  <sheetFormatPr baseColWidth="10" defaultColWidth="9.140625" defaultRowHeight="12.75" outlineLevelCol="1" x14ac:dyDescent="0.2"/>
  <cols>
    <col min="1" max="1" width="54.7109375" customWidth="1"/>
    <col min="2" max="2" width="20.28515625" customWidth="1"/>
    <col min="3" max="3" width="10.5703125" hidden="1" customWidth="1"/>
    <col min="4" max="7" width="10.42578125" hidden="1" customWidth="1"/>
    <col min="8" max="15" width="10.42578125" customWidth="1" outlineLevel="1"/>
    <col min="16" max="16" width="10.28515625" customWidth="1" outlineLevel="1"/>
    <col min="17" max="17" width="9.140625" customWidth="1" outlineLevel="1"/>
    <col min="18" max="21" width="9.140625" style="116" customWidth="1" outlineLevel="1"/>
    <col min="22" max="22" width="9.140625" style="116"/>
    <col min="23" max="23" width="10.28515625" style="116" bestFit="1" customWidth="1"/>
    <col min="24" max="27" width="9.140625" style="116"/>
    <col min="28" max="28" width="9.140625" style="116" customWidth="1"/>
    <col min="29" max="29" width="9.140625" style="471" customWidth="1"/>
    <col min="30" max="32" width="9.28515625" style="76" bestFit="1" customWidth="1" outlineLevel="1"/>
    <col min="33" max="33" width="9.28515625" style="239" bestFit="1" customWidth="1" outlineLevel="1"/>
    <col min="34" max="83" width="9.140625" style="172"/>
  </cols>
  <sheetData>
    <row r="1" spans="1:83" ht="15.75" x14ac:dyDescent="0.25">
      <c r="A1" s="18" t="s">
        <v>46</v>
      </c>
      <c r="B1" s="2"/>
      <c r="C1" s="2"/>
      <c r="D1" s="2"/>
      <c r="V1" s="196"/>
      <c r="W1" s="196"/>
      <c r="X1" s="196"/>
      <c r="Y1" s="196"/>
      <c r="Z1" s="196"/>
      <c r="AA1" s="196"/>
      <c r="AB1" s="196"/>
      <c r="AC1" s="467"/>
      <c r="AD1" s="192"/>
      <c r="AE1" s="192"/>
      <c r="AF1" s="192"/>
      <c r="AG1" s="258"/>
    </row>
    <row r="2" spans="1:83" x14ac:dyDescent="0.2">
      <c r="A2" s="315" t="s">
        <v>406</v>
      </c>
      <c r="V2" s="196"/>
      <c r="W2" s="196"/>
      <c r="X2" s="196"/>
      <c r="Y2" s="196"/>
      <c r="Z2" s="196"/>
      <c r="AA2" s="346" t="s">
        <v>178</v>
      </c>
      <c r="AB2" s="346" t="s">
        <v>294</v>
      </c>
      <c r="AC2" s="468" t="s">
        <v>309</v>
      </c>
      <c r="AD2" s="316" t="s">
        <v>315</v>
      </c>
      <c r="AE2" s="316" t="s">
        <v>316</v>
      </c>
      <c r="AF2" s="316" t="s">
        <v>317</v>
      </c>
      <c r="AG2" s="317" t="s">
        <v>318</v>
      </c>
    </row>
    <row r="3" spans="1:83" s="2" customFormat="1" ht="13.5" thickBot="1" x14ac:dyDescent="0.25">
      <c r="A3" s="19" t="s">
        <v>1</v>
      </c>
      <c r="B3" s="20" t="s">
        <v>26</v>
      </c>
      <c r="C3" s="20">
        <v>1989</v>
      </c>
      <c r="D3" s="20">
        <v>1990</v>
      </c>
      <c r="E3" s="20">
        <v>1991</v>
      </c>
      <c r="F3" s="20">
        <v>1992</v>
      </c>
      <c r="G3" s="20">
        <v>1993</v>
      </c>
      <c r="H3" s="20">
        <v>1994</v>
      </c>
      <c r="I3" s="20">
        <v>1995</v>
      </c>
      <c r="J3" s="20">
        <v>1996</v>
      </c>
      <c r="K3" s="20">
        <v>1997</v>
      </c>
      <c r="L3" s="20">
        <v>1998</v>
      </c>
      <c r="M3" s="20">
        <v>1999</v>
      </c>
      <c r="N3" s="20">
        <v>2000</v>
      </c>
      <c r="O3" s="20">
        <v>2001</v>
      </c>
      <c r="P3" s="20">
        <v>2002</v>
      </c>
      <c r="Q3" s="20">
        <v>2003</v>
      </c>
      <c r="R3" s="117">
        <v>2004</v>
      </c>
      <c r="S3" s="117">
        <v>2005</v>
      </c>
      <c r="T3" s="117">
        <v>2006</v>
      </c>
      <c r="U3" s="117">
        <v>2007</v>
      </c>
      <c r="V3" s="197">
        <v>2008</v>
      </c>
      <c r="W3" s="197">
        <v>2009</v>
      </c>
      <c r="X3" s="197">
        <v>2010</v>
      </c>
      <c r="Y3" s="197">
        <v>2011</v>
      </c>
      <c r="Z3" s="197">
        <v>2012</v>
      </c>
      <c r="AA3" s="197">
        <v>2013</v>
      </c>
      <c r="AB3" s="197">
        <v>2014</v>
      </c>
      <c r="AC3" s="469">
        <v>2015</v>
      </c>
      <c r="AD3" s="193">
        <v>2016</v>
      </c>
      <c r="AE3" s="193">
        <v>2017</v>
      </c>
      <c r="AF3" s="193">
        <v>2018</v>
      </c>
      <c r="AG3" s="259">
        <v>2019</v>
      </c>
      <c r="AH3" s="173"/>
      <c r="AI3" s="173"/>
      <c r="AJ3" s="173"/>
      <c r="AK3" s="173"/>
      <c r="AL3" s="173"/>
      <c r="AM3" s="173"/>
      <c r="AN3" s="173"/>
      <c r="AO3" s="173"/>
      <c r="AP3" s="173"/>
      <c r="AQ3" s="173"/>
      <c r="AR3" s="173"/>
      <c r="AS3" s="173"/>
      <c r="AT3" s="173"/>
      <c r="AU3" s="173"/>
      <c r="AV3" s="173"/>
      <c r="AW3" s="173"/>
      <c r="AX3" s="173"/>
      <c r="AY3" s="173"/>
      <c r="AZ3" s="173"/>
      <c r="BA3" s="173"/>
      <c r="BB3" s="173"/>
      <c r="BC3" s="173"/>
      <c r="BD3" s="173"/>
      <c r="BE3" s="173"/>
      <c r="BF3" s="173"/>
      <c r="BG3" s="173"/>
      <c r="BH3" s="173"/>
      <c r="BI3" s="173"/>
      <c r="BJ3" s="173"/>
      <c r="BK3" s="173"/>
      <c r="BL3" s="173"/>
      <c r="BM3" s="173"/>
      <c r="BN3" s="173"/>
      <c r="BO3" s="173"/>
      <c r="BP3" s="173"/>
      <c r="BQ3" s="173"/>
      <c r="BR3" s="173"/>
      <c r="BS3" s="173"/>
      <c r="BT3" s="173"/>
      <c r="BU3" s="173"/>
      <c r="BV3" s="173"/>
      <c r="BW3" s="173"/>
      <c r="BX3" s="173"/>
      <c r="BY3" s="173"/>
      <c r="BZ3" s="173"/>
      <c r="CA3" s="173"/>
      <c r="CB3" s="173"/>
      <c r="CC3" s="173"/>
      <c r="CD3" s="173"/>
      <c r="CE3" s="173"/>
    </row>
    <row r="4" spans="1:83" x14ac:dyDescent="0.2">
      <c r="V4" s="198"/>
      <c r="W4" s="198"/>
      <c r="X4" s="198"/>
      <c r="Y4" s="198"/>
      <c r="Z4" s="198"/>
      <c r="AA4" s="198"/>
      <c r="AB4" s="198"/>
      <c r="AC4" s="470"/>
      <c r="AD4" s="194"/>
      <c r="AE4" s="194"/>
      <c r="AF4" s="194"/>
      <c r="AG4" s="260"/>
    </row>
    <row r="5" spans="1:83" x14ac:dyDescent="0.2">
      <c r="A5" s="2" t="s">
        <v>0</v>
      </c>
      <c r="B5" s="2" t="s">
        <v>192</v>
      </c>
      <c r="C5" s="2"/>
      <c r="D5" s="2"/>
      <c r="V5" s="198"/>
      <c r="W5" s="198"/>
      <c r="X5" s="198"/>
      <c r="Y5" s="196"/>
      <c r="Z5" s="196"/>
      <c r="AA5" s="196"/>
      <c r="AB5" s="196"/>
      <c r="AC5" s="528"/>
      <c r="AD5" s="529"/>
      <c r="AE5" s="529"/>
      <c r="AF5" s="529"/>
      <c r="AG5" s="530"/>
    </row>
    <row r="6" spans="1:83" s="1" customFormat="1" x14ac:dyDescent="0.2">
      <c r="A6" s="409" t="s">
        <v>420</v>
      </c>
      <c r="B6" s="1" t="s">
        <v>27</v>
      </c>
      <c r="D6" s="5">
        <v>0.105</v>
      </c>
      <c r="E6" s="5">
        <v>0.10249999999999999</v>
      </c>
      <c r="F6" s="5">
        <v>9.5000000000000001E-2</v>
      </c>
      <c r="G6" s="5">
        <v>8.7499999999999994E-2</v>
      </c>
      <c r="H6" s="5">
        <v>8.7499999999999994E-2</v>
      </c>
      <c r="I6" s="5">
        <v>8.2500000000000004E-2</v>
      </c>
      <c r="J6" s="5">
        <v>8.2500000000000004E-2</v>
      </c>
      <c r="K6" s="5">
        <v>7.7499999999999999E-2</v>
      </c>
      <c r="L6" s="5">
        <v>7.2499999999999995E-2</v>
      </c>
      <c r="M6" s="5">
        <v>7.2499999999999995E-2</v>
      </c>
      <c r="N6" s="5">
        <v>7.0000000000000007E-2</v>
      </c>
      <c r="O6" s="5">
        <v>7.0000000000000007E-2</v>
      </c>
      <c r="P6" s="5">
        <v>7.0000000000000007E-2</v>
      </c>
      <c r="Q6" s="5">
        <v>7.0000000000000007E-2</v>
      </c>
      <c r="R6" s="118">
        <v>7.0000000000000007E-2</v>
      </c>
      <c r="S6" s="118">
        <v>7.0000000000000007E-2</v>
      </c>
      <c r="T6" s="118">
        <v>6.7500000000000004E-2</v>
      </c>
      <c r="U6" s="118">
        <v>6.7500000000000004E-2</v>
      </c>
      <c r="V6" s="199">
        <v>6.7500000000000004E-2</v>
      </c>
      <c r="W6" s="199">
        <v>6.7500000000000004E-2</v>
      </c>
      <c r="X6" s="199">
        <v>6.7500000000000004E-2</v>
      </c>
      <c r="Y6" s="221">
        <v>6.7500000000000004E-2</v>
      </c>
      <c r="Z6" s="221">
        <v>6.7500000000000004E-2</v>
      </c>
      <c r="AA6" s="221">
        <v>6.7500000000000004E-2</v>
      </c>
      <c r="AB6" s="472">
        <v>6.7500000000000004E-2</v>
      </c>
      <c r="AC6" s="533">
        <v>6.5000000000000002E-2</v>
      </c>
      <c r="AD6" s="534">
        <v>6.25E-2</v>
      </c>
      <c r="AE6" s="534">
        <v>6.25E-2</v>
      </c>
      <c r="AF6" s="534">
        <v>6.25E-2</v>
      </c>
      <c r="AG6" s="535">
        <v>6.25E-2</v>
      </c>
      <c r="AH6" s="174"/>
      <c r="AI6" s="174"/>
      <c r="AJ6" s="174"/>
      <c r="AK6" s="174"/>
      <c r="AL6" s="174"/>
      <c r="AM6" s="174"/>
      <c r="AN6" s="174"/>
      <c r="AO6" s="174"/>
      <c r="AP6" s="174"/>
      <c r="AQ6" s="174"/>
      <c r="AR6" s="174"/>
      <c r="AS6" s="174"/>
      <c r="AT6" s="174"/>
      <c r="AU6" s="174"/>
      <c r="AV6" s="174"/>
      <c r="AW6" s="174"/>
      <c r="AX6" s="174"/>
      <c r="AY6" s="174"/>
      <c r="AZ6" s="174"/>
      <c r="BA6" s="174"/>
      <c r="BB6" s="174"/>
      <c r="BC6" s="174"/>
      <c r="BD6" s="174"/>
      <c r="BE6" s="174"/>
      <c r="BF6" s="174"/>
      <c r="BG6" s="174"/>
      <c r="BH6" s="174"/>
      <c r="BI6" s="174"/>
      <c r="BJ6" s="174"/>
      <c r="BK6" s="174"/>
      <c r="BL6" s="174"/>
      <c r="BM6" s="174"/>
      <c r="BN6" s="174"/>
      <c r="BO6" s="174"/>
      <c r="BP6" s="174"/>
      <c r="BQ6" s="174"/>
      <c r="BR6" s="174"/>
      <c r="BS6" s="174"/>
      <c r="BT6" s="174"/>
      <c r="BU6" s="174"/>
      <c r="BV6" s="174"/>
      <c r="BW6" s="174"/>
      <c r="BX6" s="174"/>
      <c r="BY6" s="174"/>
      <c r="BZ6" s="174"/>
      <c r="CA6" s="174"/>
      <c r="CB6" s="174"/>
      <c r="CC6" s="174"/>
      <c r="CD6" s="174"/>
      <c r="CE6" s="174"/>
    </row>
    <row r="7" spans="1:83" s="1" customFormat="1" x14ac:dyDescent="0.2">
      <c r="A7" s="409" t="s">
        <v>420</v>
      </c>
      <c r="B7" s="1" t="s">
        <v>27</v>
      </c>
      <c r="D7" s="5">
        <v>9.2499999999999999E-2</v>
      </c>
      <c r="E7" s="5">
        <v>9.2499999999999999E-2</v>
      </c>
      <c r="F7" s="5">
        <v>0.09</v>
      </c>
      <c r="G7" s="5">
        <v>8.7499999999999994E-2</v>
      </c>
      <c r="H7" s="5">
        <v>8.7499999999999994E-2</v>
      </c>
      <c r="I7" s="5">
        <v>8.2500000000000004E-2</v>
      </c>
      <c r="J7" s="5">
        <v>8.2500000000000004E-2</v>
      </c>
      <c r="K7" s="5">
        <v>7.7499999999999999E-2</v>
      </c>
      <c r="L7" s="5">
        <v>7.2499999999999995E-2</v>
      </c>
      <c r="M7" s="5">
        <v>7.2499999999999995E-2</v>
      </c>
      <c r="N7" s="5">
        <v>7.0000000000000007E-2</v>
      </c>
      <c r="O7" s="5">
        <v>7.0000000000000007E-2</v>
      </c>
      <c r="P7" s="5">
        <v>7.0000000000000007E-2</v>
      </c>
      <c r="Q7" s="5">
        <v>7.0000000000000007E-2</v>
      </c>
      <c r="R7" s="118">
        <v>7.0000000000000007E-2</v>
      </c>
      <c r="S7" s="118">
        <v>7.0000000000000007E-2</v>
      </c>
      <c r="T7" s="118">
        <v>6.7500000000000004E-2</v>
      </c>
      <c r="U7" s="118">
        <v>6.7500000000000004E-2</v>
      </c>
      <c r="V7" s="199">
        <v>6.7500000000000004E-2</v>
      </c>
      <c r="W7" s="199">
        <v>6.7500000000000004E-2</v>
      </c>
      <c r="X7" s="199">
        <v>6.7500000000000004E-2</v>
      </c>
      <c r="Y7" s="221">
        <v>6.7500000000000004E-2</v>
      </c>
      <c r="Z7" s="221">
        <v>6.7500000000000004E-2</v>
      </c>
      <c r="AA7" s="221">
        <v>6.7500000000000004E-2</v>
      </c>
      <c r="AB7" s="472">
        <v>6.7500000000000004E-2</v>
      </c>
      <c r="AC7" s="533">
        <v>6.5000000000000002E-2</v>
      </c>
      <c r="AD7" s="534">
        <v>6.25E-2</v>
      </c>
      <c r="AE7" s="534">
        <v>6.25E-2</v>
      </c>
      <c r="AF7" s="534">
        <v>6.25E-2</v>
      </c>
      <c r="AG7" s="535">
        <v>6.25E-2</v>
      </c>
      <c r="AH7" s="174"/>
      <c r="AI7" s="174"/>
      <c r="AJ7" s="174"/>
      <c r="AK7" s="174"/>
      <c r="AL7" s="174"/>
      <c r="AM7" s="174"/>
      <c r="AN7" s="174"/>
      <c r="AO7" s="174"/>
      <c r="AP7" s="174"/>
      <c r="AQ7" s="174"/>
      <c r="AR7" s="174"/>
      <c r="AS7" s="174"/>
      <c r="AT7" s="174"/>
      <c r="AU7" s="174"/>
      <c r="AV7" s="174"/>
      <c r="AW7" s="174"/>
      <c r="AX7" s="174"/>
      <c r="AY7" s="174"/>
      <c r="AZ7" s="174"/>
      <c r="BA7" s="174"/>
      <c r="BB7" s="174"/>
      <c r="BC7" s="174"/>
      <c r="BD7" s="174"/>
      <c r="BE7" s="174"/>
      <c r="BF7" s="174"/>
      <c r="BG7" s="174"/>
      <c r="BH7" s="174"/>
      <c r="BI7" s="174"/>
      <c r="BJ7" s="174"/>
      <c r="BK7" s="174"/>
      <c r="BL7" s="174"/>
      <c r="BM7" s="174"/>
      <c r="BN7" s="174"/>
      <c r="BO7" s="174"/>
      <c r="BP7" s="174"/>
      <c r="BQ7" s="174"/>
      <c r="BR7" s="174"/>
      <c r="BS7" s="174"/>
      <c r="BT7" s="174"/>
      <c r="BU7" s="174"/>
      <c r="BV7" s="174"/>
      <c r="BW7" s="174"/>
      <c r="BX7" s="174"/>
      <c r="BY7" s="174"/>
      <c r="BZ7" s="174"/>
      <c r="CA7" s="174"/>
      <c r="CB7" s="174"/>
      <c r="CC7" s="174"/>
      <c r="CD7" s="174"/>
      <c r="CE7" s="174"/>
    </row>
    <row r="8" spans="1:83" s="1" customFormat="1" x14ac:dyDescent="0.2">
      <c r="A8" s="1" t="s">
        <v>2</v>
      </c>
      <c r="B8" s="1" t="s">
        <v>27</v>
      </c>
      <c r="D8" s="5">
        <v>0.06</v>
      </c>
      <c r="E8" s="5">
        <v>5.7500000000000002E-2</v>
      </c>
      <c r="F8" s="5">
        <v>5.2499999999999998E-2</v>
      </c>
      <c r="G8" s="5">
        <v>0.05</v>
      </c>
      <c r="H8" s="5">
        <v>0.05</v>
      </c>
      <c r="I8" s="5">
        <v>4.4999999999999998E-2</v>
      </c>
      <c r="J8" s="5">
        <v>4.4999999999999998E-2</v>
      </c>
      <c r="K8" s="5">
        <v>0.04</v>
      </c>
      <c r="L8" s="5">
        <v>3.5000000000000003E-2</v>
      </c>
      <c r="M8" s="5">
        <v>3.5000000000000003E-2</v>
      </c>
      <c r="N8" s="5">
        <v>3.5000000000000003E-2</v>
      </c>
      <c r="O8" s="5">
        <v>3.5000000000000003E-2</v>
      </c>
      <c r="P8" s="5">
        <v>3.5000000000000003E-2</v>
      </c>
      <c r="Q8" s="5">
        <v>3.5000000000000003E-2</v>
      </c>
      <c r="R8" s="118">
        <v>3.5000000000000003E-2</v>
      </c>
      <c r="S8" s="118">
        <v>3.5000000000000003E-2</v>
      </c>
      <c r="T8" s="118">
        <v>3.5000000000000003E-2</v>
      </c>
      <c r="U8" s="118">
        <v>3.5000000000000003E-2</v>
      </c>
      <c r="V8" s="199">
        <v>3.5000000000000003E-2</v>
      </c>
      <c r="W8" s="199">
        <v>3.5000000000000003E-2</v>
      </c>
      <c r="X8" s="199">
        <v>3.5000000000000003E-2</v>
      </c>
      <c r="Y8" s="221">
        <v>3.5000000000000003E-2</v>
      </c>
      <c r="Z8" s="221">
        <v>3.5000000000000003E-2</v>
      </c>
      <c r="AA8" s="221">
        <v>3.5000000000000003E-2</v>
      </c>
      <c r="AB8" s="472">
        <v>3.5000000000000003E-2</v>
      </c>
      <c r="AC8" s="533">
        <v>3.2500000000000001E-2</v>
      </c>
      <c r="AD8" s="534">
        <v>0.03</v>
      </c>
      <c r="AE8" s="534">
        <v>0.03</v>
      </c>
      <c r="AF8" s="534">
        <v>0.03</v>
      </c>
      <c r="AG8" s="535">
        <v>0.03</v>
      </c>
      <c r="AH8" s="174"/>
      <c r="AI8" s="174"/>
      <c r="AJ8" s="174"/>
      <c r="AK8" s="174"/>
      <c r="AL8" s="174"/>
      <c r="AM8" s="174"/>
      <c r="AN8" s="174"/>
      <c r="AO8" s="174"/>
      <c r="AP8" s="174"/>
      <c r="AQ8" s="174"/>
      <c r="AR8" s="174"/>
      <c r="AS8" s="174"/>
      <c r="AT8" s="174"/>
      <c r="AU8" s="174"/>
      <c r="AV8" s="174"/>
      <c r="AW8" s="174"/>
      <c r="AX8" s="174"/>
      <c r="AY8" s="174"/>
      <c r="AZ8" s="174"/>
      <c r="BA8" s="174"/>
      <c r="BB8" s="174"/>
      <c r="BC8" s="174"/>
      <c r="BD8" s="174"/>
      <c r="BE8" s="174"/>
      <c r="BF8" s="174"/>
      <c r="BG8" s="174"/>
      <c r="BH8" s="174"/>
      <c r="BI8" s="174"/>
      <c r="BJ8" s="174"/>
      <c r="BK8" s="174"/>
      <c r="BL8" s="174"/>
      <c r="BM8" s="174"/>
      <c r="BN8" s="174"/>
      <c r="BO8" s="174"/>
      <c r="BP8" s="174"/>
      <c r="BQ8" s="174"/>
      <c r="BR8" s="174"/>
      <c r="BS8" s="174"/>
      <c r="BT8" s="174"/>
      <c r="BU8" s="174"/>
      <c r="BV8" s="174"/>
      <c r="BW8" s="174"/>
      <c r="BX8" s="174"/>
      <c r="BY8" s="174"/>
      <c r="BZ8" s="174"/>
      <c r="CA8" s="174"/>
      <c r="CB8" s="174"/>
      <c r="CC8" s="174"/>
      <c r="CD8" s="174"/>
      <c r="CE8" s="174"/>
    </row>
    <row r="9" spans="1:83" s="1" customFormat="1" x14ac:dyDescent="0.2">
      <c r="A9" s="1" t="s">
        <v>3</v>
      </c>
      <c r="B9" s="1" t="s">
        <v>27</v>
      </c>
      <c r="D9" s="5">
        <v>4.4999999999999998E-2</v>
      </c>
      <c r="E9" s="5">
        <v>4.4999999999999998E-2</v>
      </c>
      <c r="F9" s="5">
        <v>4.2500000000000003E-2</v>
      </c>
      <c r="G9" s="5">
        <v>0.04</v>
      </c>
      <c r="H9" s="5">
        <v>0.04</v>
      </c>
      <c r="I9" s="5">
        <v>3.5000000000000003E-2</v>
      </c>
      <c r="J9" s="5">
        <v>3.5000000000000003E-2</v>
      </c>
      <c r="K9" s="5">
        <v>0.03</v>
      </c>
      <c r="L9" s="5">
        <v>2.5000000000000001E-2</v>
      </c>
      <c r="M9" s="5">
        <v>2.5000000000000001E-2</v>
      </c>
      <c r="N9" s="5">
        <v>2.5000000000000001E-2</v>
      </c>
      <c r="O9" s="5">
        <v>2.5000000000000001E-2</v>
      </c>
      <c r="P9" s="5">
        <v>2.5000000000000001E-2</v>
      </c>
      <c r="Q9" s="5">
        <v>2.5000000000000001E-2</v>
      </c>
      <c r="R9" s="118">
        <v>2.5000000000000001E-2</v>
      </c>
      <c r="S9" s="118">
        <v>2.5000000000000001E-2</v>
      </c>
      <c r="T9" s="118">
        <v>2.5000000000000001E-2</v>
      </c>
      <c r="U9" s="118">
        <v>2.5000000000000001E-2</v>
      </c>
      <c r="V9" s="199">
        <v>2.5000000000000001E-2</v>
      </c>
      <c r="W9" s="199">
        <v>2.5000000000000001E-2</v>
      </c>
      <c r="X9" s="199">
        <v>2.5000000000000001E-2</v>
      </c>
      <c r="Y9" s="221">
        <v>2.5000000000000001E-2</v>
      </c>
      <c r="Z9" s="221">
        <v>2.5000000000000001E-2</v>
      </c>
      <c r="AA9" s="221">
        <v>2.5000000000000001E-2</v>
      </c>
      <c r="AB9" s="472">
        <v>2.5000000000000001E-2</v>
      </c>
      <c r="AC9" s="533">
        <v>2.2500000000000003E-2</v>
      </c>
      <c r="AD9" s="534">
        <v>0.02</v>
      </c>
      <c r="AE9" s="534">
        <v>0.02</v>
      </c>
      <c r="AF9" s="534">
        <v>0.02</v>
      </c>
      <c r="AG9" s="535">
        <v>0.02</v>
      </c>
      <c r="AH9" s="174"/>
      <c r="AI9" s="174"/>
      <c r="AJ9" s="174"/>
      <c r="AK9" s="174"/>
      <c r="AL9" s="174"/>
      <c r="AM9" s="174"/>
      <c r="AN9" s="174"/>
      <c r="AO9" s="174"/>
      <c r="AP9" s="174"/>
      <c r="AQ9" s="174"/>
      <c r="AR9" s="174"/>
      <c r="AS9" s="174"/>
      <c r="AT9" s="174"/>
      <c r="AU9" s="174"/>
      <c r="AV9" s="174"/>
      <c r="AW9" s="174"/>
      <c r="AX9" s="174"/>
      <c r="AY9" s="174"/>
      <c r="AZ9" s="174"/>
      <c r="BA9" s="174"/>
      <c r="BB9" s="174"/>
      <c r="BC9" s="174"/>
      <c r="BD9" s="174"/>
      <c r="BE9" s="174"/>
      <c r="BF9" s="174"/>
      <c r="BG9" s="174"/>
      <c r="BH9" s="174"/>
      <c r="BI9" s="174"/>
      <c r="BJ9" s="174"/>
      <c r="BK9" s="174"/>
      <c r="BL9" s="174"/>
      <c r="BM9" s="174"/>
      <c r="BN9" s="174"/>
      <c r="BO9" s="174"/>
      <c r="BP9" s="174"/>
      <c r="BQ9" s="174"/>
      <c r="BR9" s="174"/>
      <c r="BS9" s="174"/>
      <c r="BT9" s="174"/>
      <c r="BU9" s="174"/>
      <c r="BV9" s="174"/>
      <c r="BW9" s="174"/>
      <c r="BX9" s="174"/>
      <c r="BY9" s="174"/>
      <c r="BZ9" s="174"/>
      <c r="CA9" s="174"/>
      <c r="CB9" s="174"/>
      <c r="CC9" s="174"/>
      <c r="CD9" s="174"/>
      <c r="CE9" s="174"/>
    </row>
    <row r="10" spans="1:83" x14ac:dyDescent="0.2">
      <c r="V10" s="198"/>
      <c r="W10" s="198"/>
      <c r="X10" s="198"/>
      <c r="Y10" s="196"/>
      <c r="Z10" s="196"/>
      <c r="AA10" s="196"/>
      <c r="AB10" s="473"/>
      <c r="AC10" s="467"/>
      <c r="AD10" s="192"/>
      <c r="AE10" s="192"/>
      <c r="AF10" s="192"/>
      <c r="AG10" s="258"/>
    </row>
    <row r="11" spans="1:83" x14ac:dyDescent="0.2">
      <c r="A11" s="2" t="s">
        <v>4</v>
      </c>
      <c r="B11" s="2"/>
      <c r="C11" s="2"/>
      <c r="D11" s="2"/>
      <c r="V11" s="198"/>
      <c r="W11" s="198"/>
      <c r="X11" s="198"/>
      <c r="Y11" s="196"/>
      <c r="Z11" s="196"/>
      <c r="AA11" s="196"/>
      <c r="AB11" s="473"/>
      <c r="AC11" s="467"/>
      <c r="AD11" s="192"/>
      <c r="AE11" s="192"/>
      <c r="AF11" s="192"/>
      <c r="AG11" s="258"/>
    </row>
    <row r="12" spans="1:83" s="3" customFormat="1" x14ac:dyDescent="0.2">
      <c r="A12" s="3" t="s">
        <v>11</v>
      </c>
      <c r="B12" s="3" t="s">
        <v>28</v>
      </c>
      <c r="C12" s="7">
        <v>21912</v>
      </c>
      <c r="D12" s="7">
        <v>24391</v>
      </c>
      <c r="E12" s="7">
        <v>27479</v>
      </c>
      <c r="F12" s="7">
        <v>30781</v>
      </c>
      <c r="G12" s="7">
        <v>33998</v>
      </c>
      <c r="H12" s="7">
        <v>36848</v>
      </c>
      <c r="I12" s="7">
        <v>39007</v>
      </c>
      <c r="J12" s="7">
        <v>41833</v>
      </c>
      <c r="K12" s="7">
        <v>46470</v>
      </c>
      <c r="L12" s="7">
        <v>48635</v>
      </c>
      <c r="M12" s="7">
        <v>50346</v>
      </c>
      <c r="N12" s="7">
        <v>55087</v>
      </c>
      <c r="O12" s="7">
        <v>64369</v>
      </c>
      <c r="P12" s="7">
        <v>67319</v>
      </c>
      <c r="Q12" s="7">
        <v>71009</v>
      </c>
      <c r="R12" s="119">
        <v>74089</v>
      </c>
      <c r="S12" s="119">
        <v>80371</v>
      </c>
      <c r="T12" s="119">
        <v>83120</v>
      </c>
      <c r="U12" s="119">
        <v>88356</v>
      </c>
      <c r="V12" s="200">
        <v>92022</v>
      </c>
      <c r="W12" s="200">
        <v>96608</v>
      </c>
      <c r="X12" s="200">
        <v>99117</v>
      </c>
      <c r="Y12" s="222">
        <v>103693</v>
      </c>
      <c r="Z12" s="222">
        <v>105954</v>
      </c>
      <c r="AA12" s="222">
        <v>109524</v>
      </c>
      <c r="AB12" s="474">
        <v>113801</v>
      </c>
      <c r="AC12" s="484">
        <v>116367</v>
      </c>
      <c r="AD12" s="536">
        <v>120891.15773981952</v>
      </c>
      <c r="AE12" s="536">
        <v>125674.54587496544</v>
      </c>
      <c r="AF12" s="536">
        <v>130724.77615093655</v>
      </c>
      <c r="AG12" s="537">
        <v>136066.48289917331</v>
      </c>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28"/>
      <c r="BK12" s="128"/>
      <c r="BL12" s="128"/>
      <c r="BM12" s="128"/>
      <c r="BN12" s="128"/>
      <c r="BO12" s="128"/>
      <c r="BP12" s="128"/>
      <c r="BQ12" s="128"/>
      <c r="BR12" s="128"/>
      <c r="BS12" s="128"/>
      <c r="BT12" s="128"/>
      <c r="BU12" s="128"/>
      <c r="BV12" s="128"/>
      <c r="BW12" s="128"/>
      <c r="BX12" s="128"/>
      <c r="BY12" s="128"/>
      <c r="BZ12" s="128"/>
      <c r="CA12" s="128"/>
      <c r="CB12" s="128"/>
      <c r="CC12" s="128"/>
      <c r="CD12" s="128"/>
      <c r="CE12" s="128"/>
    </row>
    <row r="13" spans="1:83" s="3" customFormat="1" x14ac:dyDescent="0.2">
      <c r="A13" s="3" t="s">
        <v>5</v>
      </c>
      <c r="B13" s="3" t="s">
        <v>28</v>
      </c>
      <c r="D13" s="7">
        <v>2309</v>
      </c>
      <c r="E13" s="7">
        <v>2588</v>
      </c>
      <c r="F13" s="7">
        <v>2845</v>
      </c>
      <c r="G13" s="7">
        <v>2943</v>
      </c>
      <c r="H13" s="7">
        <v>3000</v>
      </c>
      <c r="I13" s="7">
        <v>3076</v>
      </c>
      <c r="J13" s="7">
        <v>3381</v>
      </c>
      <c r="K13" s="7">
        <v>3425</v>
      </c>
      <c r="L13" s="7">
        <v>3415</v>
      </c>
      <c r="M13" s="7">
        <v>3493</v>
      </c>
      <c r="N13" s="7">
        <v>3648</v>
      </c>
      <c r="O13" s="7">
        <v>4108</v>
      </c>
      <c r="P13" s="7">
        <v>4468</v>
      </c>
      <c r="Q13" s="7">
        <v>4669</v>
      </c>
      <c r="R13" s="119">
        <v>4923</v>
      </c>
      <c r="S13" s="119">
        <v>5158</v>
      </c>
      <c r="T13" s="119">
        <v>5318</v>
      </c>
      <c r="U13" s="119">
        <v>5550</v>
      </c>
      <c r="V13" s="200">
        <v>5898</v>
      </c>
      <c r="W13" s="200">
        <v>6166</v>
      </c>
      <c r="X13" s="200">
        <v>6452</v>
      </c>
      <c r="Y13" s="222">
        <v>6619</v>
      </c>
      <c r="Z13" s="222">
        <v>6926</v>
      </c>
      <c r="AA13" s="222">
        <v>7067</v>
      </c>
      <c r="AB13" s="474">
        <v>7311</v>
      </c>
      <c r="AC13" s="484">
        <v>7310</v>
      </c>
      <c r="AD13" s="536">
        <v>7182.34375</v>
      </c>
      <c r="AE13" s="536">
        <v>7456.8457620590325</v>
      </c>
      <c r="AF13" s="536">
        <v>7748.5862659982058</v>
      </c>
      <c r="AG13" s="537">
        <v>8056.4801008723562</v>
      </c>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c r="BK13" s="128"/>
      <c r="BL13" s="128"/>
      <c r="BM13" s="128"/>
      <c r="BN13" s="128"/>
      <c r="BO13" s="128"/>
      <c r="BP13" s="128"/>
      <c r="BQ13" s="128"/>
      <c r="BR13" s="128"/>
      <c r="BS13" s="128"/>
      <c r="BT13" s="128"/>
      <c r="BU13" s="128"/>
      <c r="BV13" s="128"/>
      <c r="BW13" s="128"/>
      <c r="BX13" s="128"/>
      <c r="BY13" s="128"/>
      <c r="BZ13" s="128"/>
      <c r="CA13" s="128"/>
      <c r="CB13" s="128"/>
      <c r="CC13" s="128"/>
      <c r="CD13" s="128"/>
      <c r="CE13" s="128"/>
    </row>
    <row r="14" spans="1:83" s="3" customFormat="1" x14ac:dyDescent="0.2">
      <c r="A14" s="3" t="s">
        <v>50</v>
      </c>
      <c r="B14" s="3" t="s">
        <v>28</v>
      </c>
      <c r="D14" s="7">
        <v>930</v>
      </c>
      <c r="E14" s="7">
        <v>1180</v>
      </c>
      <c r="F14" s="7">
        <v>1188</v>
      </c>
      <c r="G14" s="7">
        <v>1170</v>
      </c>
      <c r="H14" s="7">
        <v>1292</v>
      </c>
      <c r="I14" s="7">
        <v>1363</v>
      </c>
      <c r="J14" s="7">
        <v>1337</v>
      </c>
      <c r="K14" s="7">
        <v>1204</v>
      </c>
      <c r="L14" s="7">
        <v>1305</v>
      </c>
      <c r="M14" s="7">
        <v>1301</v>
      </c>
      <c r="N14" s="7">
        <v>1300</v>
      </c>
      <c r="O14" s="7">
        <v>1539</v>
      </c>
      <c r="P14" s="7">
        <v>1695</v>
      </c>
      <c r="Q14" s="7">
        <v>1735</v>
      </c>
      <c r="R14" s="119">
        <v>1756</v>
      </c>
      <c r="S14" s="119">
        <v>1909</v>
      </c>
      <c r="T14" s="119">
        <f>1979+14+2+17-T15</f>
        <v>1995</v>
      </c>
      <c r="U14" s="119">
        <f>2085+16+1</f>
        <v>2102</v>
      </c>
      <c r="V14" s="200">
        <v>2236</v>
      </c>
      <c r="W14" s="200">
        <v>2349</v>
      </c>
      <c r="X14" s="200">
        <v>2434</v>
      </c>
      <c r="Y14" s="222">
        <v>2565</v>
      </c>
      <c r="Z14" s="222">
        <v>2791</v>
      </c>
      <c r="AA14" s="222">
        <v>2654</v>
      </c>
      <c r="AB14" s="474">
        <v>2924</v>
      </c>
      <c r="AC14" s="538">
        <f>2868+34+0</f>
        <v>2902</v>
      </c>
      <c r="AD14" s="536">
        <v>3023.59375</v>
      </c>
      <c r="AE14" s="536">
        <v>3262.1026904296868</v>
      </c>
      <c r="AF14" s="536">
        <v>3500.4040891754139</v>
      </c>
      <c r="AG14" s="537">
        <v>3756.0074825188831</v>
      </c>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c r="BH14" s="128"/>
      <c r="BI14" s="128"/>
      <c r="BJ14" s="128"/>
      <c r="BK14" s="128"/>
      <c r="BL14" s="128"/>
      <c r="BM14" s="128"/>
      <c r="BN14" s="128"/>
      <c r="BO14" s="128"/>
      <c r="BP14" s="128"/>
      <c r="BQ14" s="128"/>
      <c r="BR14" s="128"/>
      <c r="BS14" s="128"/>
      <c r="BT14" s="128"/>
      <c r="BU14" s="128"/>
      <c r="BV14" s="128"/>
      <c r="BW14" s="128"/>
      <c r="BX14" s="128"/>
      <c r="BY14" s="128"/>
      <c r="BZ14" s="128"/>
      <c r="CA14" s="128"/>
      <c r="CB14" s="128"/>
      <c r="CC14" s="128"/>
      <c r="CD14" s="128"/>
      <c r="CE14" s="128"/>
    </row>
    <row r="15" spans="1:83" s="158" customFormat="1" x14ac:dyDescent="0.2">
      <c r="A15" s="158" t="s">
        <v>18</v>
      </c>
      <c r="D15" s="159"/>
      <c r="E15" s="159"/>
      <c r="F15" s="159"/>
      <c r="G15" s="159"/>
      <c r="H15" s="159"/>
      <c r="I15" s="159"/>
      <c r="J15" s="159"/>
      <c r="K15" s="159"/>
      <c r="L15" s="159"/>
      <c r="M15" s="159"/>
      <c r="N15" s="159"/>
      <c r="O15" s="159"/>
      <c r="P15" s="159"/>
      <c r="Q15" s="159"/>
      <c r="R15" s="159"/>
      <c r="S15" s="159"/>
      <c r="T15" s="159">
        <f>T34</f>
        <v>17</v>
      </c>
      <c r="U15" s="159">
        <f>U34</f>
        <v>19</v>
      </c>
      <c r="V15" s="200">
        <v>17</v>
      </c>
      <c r="W15" s="200">
        <v>13</v>
      </c>
      <c r="X15" s="200">
        <v>11</v>
      </c>
      <c r="Y15" s="222">
        <v>15</v>
      </c>
      <c r="Z15" s="222">
        <v>13</v>
      </c>
      <c r="AA15" s="222">
        <v>13</v>
      </c>
      <c r="AB15" s="474">
        <v>13</v>
      </c>
      <c r="AC15" s="484">
        <v>14</v>
      </c>
      <c r="AD15" s="536">
        <v>13</v>
      </c>
      <c r="AE15" s="536">
        <v>13</v>
      </c>
      <c r="AF15" s="536">
        <v>13</v>
      </c>
      <c r="AG15" s="537">
        <v>13</v>
      </c>
      <c r="AH15" s="128"/>
      <c r="AI15" s="128"/>
      <c r="AJ15" s="128"/>
      <c r="AK15" s="128"/>
      <c r="AL15" s="128"/>
      <c r="AM15" s="128"/>
      <c r="AN15" s="128"/>
      <c r="AO15" s="128"/>
      <c r="AP15" s="128"/>
      <c r="AQ15" s="128"/>
      <c r="AR15" s="128"/>
      <c r="AS15" s="128"/>
      <c r="AT15" s="128"/>
      <c r="AU15" s="128"/>
      <c r="AV15" s="128"/>
      <c r="AW15" s="128"/>
      <c r="AX15" s="128"/>
      <c r="AY15" s="128"/>
      <c r="AZ15" s="128"/>
      <c r="BA15" s="128"/>
      <c r="BB15" s="128"/>
      <c r="BC15" s="128"/>
      <c r="BD15" s="128"/>
      <c r="BE15" s="128"/>
      <c r="BF15" s="128"/>
      <c r="BG15" s="128"/>
      <c r="BH15" s="128"/>
      <c r="BI15" s="128"/>
      <c r="BJ15" s="128"/>
      <c r="BK15" s="128"/>
      <c r="BL15" s="128"/>
      <c r="BM15" s="128"/>
      <c r="BN15" s="128"/>
      <c r="BO15" s="128"/>
      <c r="BP15" s="128"/>
      <c r="BQ15" s="128"/>
      <c r="BR15" s="128"/>
      <c r="BS15" s="128"/>
      <c r="BT15" s="128"/>
      <c r="BU15" s="128"/>
      <c r="BV15" s="128"/>
      <c r="BW15" s="128"/>
      <c r="BX15" s="128"/>
      <c r="BY15" s="128"/>
      <c r="BZ15" s="128"/>
      <c r="CA15" s="128"/>
      <c r="CB15" s="128"/>
      <c r="CC15" s="128"/>
      <c r="CD15" s="128"/>
      <c r="CE15" s="128"/>
    </row>
    <row r="16" spans="1:83" s="3" customFormat="1" x14ac:dyDescent="0.2">
      <c r="A16" s="3" t="s">
        <v>207</v>
      </c>
      <c r="B16" s="3" t="s">
        <v>28</v>
      </c>
      <c r="D16" s="7"/>
      <c r="E16" s="7">
        <v>0</v>
      </c>
      <c r="F16" s="7">
        <v>0</v>
      </c>
      <c r="G16" s="7">
        <v>0</v>
      </c>
      <c r="H16" s="7">
        <v>0</v>
      </c>
      <c r="I16" s="7">
        <v>0</v>
      </c>
      <c r="J16" s="7">
        <v>258</v>
      </c>
      <c r="K16" s="7">
        <v>2013</v>
      </c>
      <c r="L16" s="7"/>
      <c r="M16" s="7">
        <v>0</v>
      </c>
      <c r="N16" s="7">
        <v>0</v>
      </c>
      <c r="O16" s="7">
        <v>4519</v>
      </c>
      <c r="P16" s="7"/>
      <c r="Q16" s="7"/>
      <c r="R16" s="119"/>
      <c r="S16" s="119"/>
      <c r="T16" s="119"/>
      <c r="U16" s="119"/>
      <c r="V16" s="200"/>
      <c r="W16" s="200"/>
      <c r="X16" s="200"/>
      <c r="Y16" s="222">
        <v>0</v>
      </c>
      <c r="Z16" s="222">
        <v>0</v>
      </c>
      <c r="AA16" s="222">
        <v>0</v>
      </c>
      <c r="AB16" s="475">
        <v>0</v>
      </c>
      <c r="AC16" s="539">
        <v>0</v>
      </c>
      <c r="AD16" s="540">
        <v>0</v>
      </c>
      <c r="AE16" s="540">
        <v>0</v>
      </c>
      <c r="AF16" s="540">
        <v>0</v>
      </c>
      <c r="AG16" s="541">
        <v>0</v>
      </c>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128"/>
      <c r="BL16" s="128"/>
      <c r="BM16" s="128"/>
      <c r="BN16" s="128"/>
      <c r="BO16" s="128"/>
      <c r="BP16" s="128"/>
      <c r="BQ16" s="128"/>
      <c r="BR16" s="128"/>
      <c r="BS16" s="128"/>
      <c r="BT16" s="128"/>
      <c r="BU16" s="128"/>
      <c r="BV16" s="128"/>
      <c r="BW16" s="128"/>
      <c r="BX16" s="128"/>
      <c r="BY16" s="128"/>
      <c r="BZ16" s="128"/>
      <c r="CA16" s="128"/>
      <c r="CB16" s="128"/>
      <c r="CC16" s="128"/>
      <c r="CD16" s="128"/>
      <c r="CE16" s="128"/>
    </row>
    <row r="17" spans="1:83" s="3" customFormat="1" x14ac:dyDescent="0.2">
      <c r="A17" s="3" t="s">
        <v>208</v>
      </c>
      <c r="B17" s="3" t="s">
        <v>28</v>
      </c>
      <c r="D17" s="7"/>
      <c r="E17" s="7"/>
      <c r="F17" s="7"/>
      <c r="G17" s="7"/>
      <c r="H17" s="7"/>
      <c r="I17" s="7"/>
      <c r="J17" s="7"/>
      <c r="K17" s="7"/>
      <c r="L17" s="7">
        <v>380</v>
      </c>
      <c r="M17" s="7"/>
      <c r="N17" s="7"/>
      <c r="O17" s="7"/>
      <c r="P17" s="7"/>
      <c r="Q17" s="7"/>
      <c r="R17" s="119"/>
      <c r="S17" s="119"/>
      <c r="T17" s="119"/>
      <c r="U17" s="119"/>
      <c r="V17" s="200"/>
      <c r="W17" s="200"/>
      <c r="X17" s="200">
        <v>0</v>
      </c>
      <c r="Y17" s="222">
        <v>0</v>
      </c>
      <c r="Z17" s="222">
        <v>0</v>
      </c>
      <c r="AA17" s="222">
        <v>0</v>
      </c>
      <c r="AB17" s="475">
        <v>0</v>
      </c>
      <c r="AC17" s="539">
        <v>0</v>
      </c>
      <c r="AD17" s="540">
        <v>0</v>
      </c>
      <c r="AE17" s="540">
        <v>0</v>
      </c>
      <c r="AF17" s="540">
        <v>0</v>
      </c>
      <c r="AG17" s="541">
        <v>0</v>
      </c>
      <c r="AH17" s="128"/>
      <c r="AI17" s="128"/>
      <c r="AJ17" s="128"/>
      <c r="AK17" s="128"/>
      <c r="AL17" s="128"/>
      <c r="AM17" s="128"/>
      <c r="AN17" s="128"/>
      <c r="AO17" s="128"/>
      <c r="AP17" s="128"/>
      <c r="AQ17" s="128"/>
      <c r="AR17" s="128"/>
      <c r="AS17" s="128"/>
      <c r="AT17" s="128"/>
      <c r="AU17" s="128"/>
      <c r="AV17" s="128"/>
      <c r="AW17" s="128"/>
      <c r="AX17" s="128"/>
      <c r="AY17" s="128"/>
      <c r="AZ17" s="128"/>
      <c r="BA17" s="128"/>
      <c r="BB17" s="128"/>
      <c r="BC17" s="128"/>
      <c r="BD17" s="128"/>
      <c r="BE17" s="128"/>
      <c r="BF17" s="128"/>
      <c r="BG17" s="128"/>
      <c r="BH17" s="128"/>
      <c r="BI17" s="128"/>
      <c r="BJ17" s="128"/>
      <c r="BK17" s="128"/>
      <c r="BL17" s="128"/>
      <c r="BM17" s="128"/>
      <c r="BN17" s="128"/>
      <c r="BO17" s="128"/>
      <c r="BP17" s="128"/>
      <c r="BQ17" s="128"/>
      <c r="BR17" s="128"/>
      <c r="BS17" s="128"/>
      <c r="BT17" s="128"/>
      <c r="BU17" s="128"/>
      <c r="BV17" s="128"/>
      <c r="BW17" s="128"/>
      <c r="BX17" s="128"/>
      <c r="BY17" s="128"/>
      <c r="BZ17" s="128"/>
      <c r="CA17" s="128"/>
      <c r="CB17" s="128"/>
      <c r="CC17" s="128"/>
      <c r="CD17" s="128"/>
      <c r="CE17" s="128"/>
    </row>
    <row r="18" spans="1:83" s="3" customFormat="1" x14ac:dyDescent="0.2">
      <c r="A18" s="3" t="s">
        <v>9</v>
      </c>
      <c r="B18" s="3" t="s">
        <v>29</v>
      </c>
      <c r="D18" s="7">
        <v>-760</v>
      </c>
      <c r="E18" s="7">
        <v>-829</v>
      </c>
      <c r="F18" s="7">
        <v>-921</v>
      </c>
      <c r="G18" s="7">
        <v>-1001</v>
      </c>
      <c r="H18" s="7">
        <v>-1130</v>
      </c>
      <c r="I18" s="7">
        <v>-1261</v>
      </c>
      <c r="J18" s="7">
        <v>-1520</v>
      </c>
      <c r="K18" s="7">
        <v>-1802</v>
      </c>
      <c r="L18" s="7">
        <v>-2103</v>
      </c>
      <c r="M18" s="7">
        <v>-2278</v>
      </c>
      <c r="N18" s="7">
        <v>-2541</v>
      </c>
      <c r="O18" s="7">
        <v>-3080</v>
      </c>
      <c r="P18" s="7">
        <v>-3076</v>
      </c>
      <c r="Q18" s="7">
        <v>-3199</v>
      </c>
      <c r="R18" s="119">
        <f>-3220-208</f>
        <v>-3428</v>
      </c>
      <c r="S18" s="119">
        <v>-3620</v>
      </c>
      <c r="T18" s="119">
        <f>-3725-7-86</f>
        <v>-3818</v>
      </c>
      <c r="U18" s="119">
        <f>-3976-8-36</f>
        <v>-4020</v>
      </c>
      <c r="V18" s="200">
        <v>-4194</v>
      </c>
      <c r="W18" s="200">
        <v>-4392</v>
      </c>
      <c r="X18" s="200">
        <v>-4500</v>
      </c>
      <c r="Y18" s="222">
        <v>-4663</v>
      </c>
      <c r="Z18" s="222">
        <v>-4924</v>
      </c>
      <c r="AA18" s="222">
        <v>-5150</v>
      </c>
      <c r="AB18" s="474">
        <v>-5306</v>
      </c>
      <c r="AC18" s="484">
        <f>-5356-0-180</f>
        <v>-5536</v>
      </c>
      <c r="AD18" s="536">
        <v>-5694.7797601804714</v>
      </c>
      <c r="AE18" s="536">
        <v>-5948.560317342809</v>
      </c>
      <c r="AF18" s="536">
        <v>-6211.7600792025059</v>
      </c>
      <c r="AG18" s="537">
        <f>-6484.78083515448+1</f>
        <v>-6483.78083515448</v>
      </c>
      <c r="AH18" s="128"/>
      <c r="AI18" s="128"/>
      <c r="AJ18" s="128"/>
      <c r="AK18" s="128"/>
      <c r="AL18" s="128"/>
      <c r="AM18" s="128"/>
      <c r="AN18" s="128"/>
      <c r="AO18" s="128"/>
      <c r="AP18" s="128"/>
      <c r="AQ18" s="128"/>
      <c r="AR18" s="128"/>
      <c r="AS18" s="128"/>
      <c r="AT18" s="128"/>
      <c r="AU18" s="128"/>
      <c r="AV18" s="128"/>
      <c r="AW18" s="128"/>
      <c r="AX18" s="128"/>
      <c r="AY18" s="128"/>
      <c r="AZ18" s="128"/>
      <c r="BA18" s="128"/>
      <c r="BB18" s="128"/>
      <c r="BC18" s="128"/>
      <c r="BD18" s="128"/>
      <c r="BE18" s="128"/>
      <c r="BF18" s="128"/>
      <c r="BG18" s="128"/>
      <c r="BH18" s="128"/>
      <c r="BI18" s="128"/>
      <c r="BJ18" s="128"/>
      <c r="BK18" s="128"/>
      <c r="BL18" s="128"/>
      <c r="BM18" s="128"/>
      <c r="BN18" s="128"/>
      <c r="BO18" s="128"/>
      <c r="BP18" s="128"/>
      <c r="BQ18" s="128"/>
      <c r="BR18" s="128"/>
      <c r="BS18" s="128"/>
      <c r="BT18" s="128"/>
      <c r="BU18" s="128"/>
      <c r="BV18" s="128"/>
      <c r="BW18" s="128"/>
      <c r="BX18" s="128"/>
      <c r="BY18" s="128"/>
      <c r="BZ18" s="128"/>
      <c r="CA18" s="128"/>
      <c r="CB18" s="128"/>
      <c r="CC18" s="128"/>
      <c r="CD18" s="128"/>
      <c r="CE18" s="128"/>
    </row>
    <row r="19" spans="1:83" s="3" customFormat="1" x14ac:dyDescent="0.2">
      <c r="A19" s="3" t="s">
        <v>6</v>
      </c>
      <c r="B19" s="3" t="s">
        <v>28</v>
      </c>
      <c r="D19" s="7"/>
      <c r="E19" s="7">
        <v>138</v>
      </c>
      <c r="F19" s="7">
        <v>-433</v>
      </c>
      <c r="G19" s="7">
        <v>-646</v>
      </c>
      <c r="H19" s="7">
        <v>-558</v>
      </c>
      <c r="I19" s="7">
        <v>-1156</v>
      </c>
      <c r="J19" s="7">
        <v>-822</v>
      </c>
      <c r="K19" s="7">
        <v>-878</v>
      </c>
      <c r="L19" s="7">
        <v>-1048</v>
      </c>
      <c r="M19" s="7">
        <v>-805</v>
      </c>
      <c r="N19" s="7">
        <v>605</v>
      </c>
      <c r="O19" s="7">
        <v>51</v>
      </c>
      <c r="P19" s="7">
        <f>-142</f>
        <v>-142</v>
      </c>
      <c r="Q19" s="7">
        <v>414</v>
      </c>
      <c r="R19" s="119">
        <v>-180</v>
      </c>
      <c r="S19" s="119">
        <v>0</v>
      </c>
      <c r="T19" s="119">
        <v>-68</v>
      </c>
      <c r="U19" s="119">
        <v>-276</v>
      </c>
      <c r="V19" s="200">
        <v>-291</v>
      </c>
      <c r="W19" s="200">
        <v>450</v>
      </c>
      <c r="X19" s="200">
        <v>-1975</v>
      </c>
      <c r="Y19" s="222">
        <v>-457</v>
      </c>
      <c r="Z19" s="222">
        <v>-312</v>
      </c>
      <c r="AA19" s="222">
        <v>-956</v>
      </c>
      <c r="AB19" s="474">
        <v>-300</v>
      </c>
      <c r="AC19" s="484">
        <f>-1028-552-1161</f>
        <v>-2741</v>
      </c>
      <c r="AD19" s="536">
        <v>0</v>
      </c>
      <c r="AE19" s="536">
        <v>0</v>
      </c>
      <c r="AF19" s="536">
        <v>0</v>
      </c>
      <c r="AG19" s="537">
        <v>0</v>
      </c>
      <c r="AH19" s="128"/>
      <c r="AI19" s="128"/>
      <c r="AJ19" s="128"/>
      <c r="AK19" s="128"/>
      <c r="AL19" s="128"/>
      <c r="AM19" s="128"/>
      <c r="AN19" s="128"/>
      <c r="AO19" s="128"/>
      <c r="AP19" s="128"/>
      <c r="AQ19" s="128"/>
      <c r="AR19" s="128"/>
      <c r="AS19" s="128"/>
      <c r="AT19" s="128"/>
      <c r="AU19" s="128"/>
      <c r="AV19" s="128"/>
      <c r="AW19" s="128"/>
      <c r="AX19" s="128"/>
      <c r="AY19" s="128"/>
      <c r="AZ19" s="128"/>
      <c r="BA19" s="128"/>
      <c r="BB19" s="128"/>
      <c r="BC19" s="128"/>
      <c r="BD19" s="128"/>
      <c r="BE19" s="128"/>
      <c r="BF19" s="128"/>
      <c r="BG19" s="128"/>
      <c r="BH19" s="128"/>
      <c r="BI19" s="128"/>
      <c r="BJ19" s="128"/>
      <c r="BK19" s="128"/>
      <c r="BL19" s="128"/>
      <c r="BM19" s="128"/>
      <c r="BN19" s="128"/>
      <c r="BO19" s="128"/>
      <c r="BP19" s="128"/>
      <c r="BQ19" s="128"/>
      <c r="BR19" s="128"/>
      <c r="BS19" s="128"/>
      <c r="BT19" s="128"/>
      <c r="BU19" s="128"/>
      <c r="BV19" s="128"/>
      <c r="BW19" s="128"/>
      <c r="BX19" s="128"/>
      <c r="BY19" s="128"/>
      <c r="BZ19" s="128"/>
      <c r="CA19" s="128"/>
      <c r="CB19" s="128"/>
      <c r="CC19" s="128"/>
      <c r="CD19" s="128"/>
      <c r="CE19" s="128"/>
    </row>
    <row r="20" spans="1:83" s="3" customFormat="1" x14ac:dyDescent="0.2">
      <c r="A20" s="3" t="s">
        <v>7</v>
      </c>
      <c r="B20" s="3" t="s">
        <v>30</v>
      </c>
      <c r="D20" s="7"/>
      <c r="E20" s="7">
        <v>0</v>
      </c>
      <c r="F20" s="7">
        <v>606</v>
      </c>
      <c r="G20" s="7">
        <v>733</v>
      </c>
      <c r="H20" s="7">
        <v>246</v>
      </c>
      <c r="I20" s="7">
        <v>137</v>
      </c>
      <c r="J20" s="7">
        <v>192</v>
      </c>
      <c r="K20" s="7">
        <v>675</v>
      </c>
      <c r="L20" s="7">
        <v>216</v>
      </c>
      <c r="M20" s="7">
        <v>0</v>
      </c>
      <c r="N20" s="7">
        <v>1729</v>
      </c>
      <c r="O20" s="7">
        <v>2145</v>
      </c>
      <c r="P20" s="7">
        <v>5</v>
      </c>
      <c r="Q20" s="7">
        <v>71</v>
      </c>
      <c r="R20" s="119">
        <v>9</v>
      </c>
      <c r="S20" s="119">
        <f>2769+66</f>
        <v>2835</v>
      </c>
      <c r="T20" s="119">
        <v>-695</v>
      </c>
      <c r="U20" s="119">
        <v>1861</v>
      </c>
      <c r="V20" s="200"/>
      <c r="W20" s="200"/>
      <c r="X20" s="200">
        <v>87</v>
      </c>
      <c r="Y20" s="222">
        <v>497</v>
      </c>
      <c r="Z20" s="222">
        <f>-2479+246</f>
        <v>-2233</v>
      </c>
      <c r="AA20" s="222">
        <v>-58</v>
      </c>
      <c r="AB20" s="476">
        <f>1054+116+4131-5666</f>
        <v>-365</v>
      </c>
      <c r="AC20" s="539">
        <f>350+4142-3829-46</f>
        <v>617</v>
      </c>
      <c r="AD20" s="540">
        <v>0</v>
      </c>
      <c r="AE20" s="540">
        <v>0</v>
      </c>
      <c r="AF20" s="540">
        <v>0</v>
      </c>
      <c r="AG20" s="541">
        <v>0</v>
      </c>
      <c r="AH20" s="128"/>
      <c r="AI20" s="128"/>
      <c r="AJ20" s="128"/>
      <c r="AK20" s="128"/>
      <c r="AL20" s="128"/>
      <c r="AM20" s="128"/>
      <c r="AN20" s="128"/>
      <c r="AO20" s="128"/>
      <c r="AP20" s="128"/>
      <c r="AQ20" s="128"/>
      <c r="AR20" s="128"/>
      <c r="AS20" s="128"/>
      <c r="AT20" s="128"/>
      <c r="AU20" s="128"/>
      <c r="AV20" s="128"/>
      <c r="AW20" s="128"/>
      <c r="AX20" s="128"/>
      <c r="AY20" s="128"/>
      <c r="AZ20" s="128"/>
      <c r="BA20" s="128"/>
      <c r="BB20" s="128"/>
      <c r="BC20" s="128"/>
      <c r="BD20" s="128"/>
      <c r="BE20" s="128"/>
      <c r="BF20" s="128"/>
      <c r="BG20" s="128"/>
      <c r="BH20" s="128"/>
      <c r="BI20" s="128"/>
      <c r="BJ20" s="128"/>
      <c r="BK20" s="128"/>
      <c r="BL20" s="128"/>
      <c r="BM20" s="128"/>
      <c r="BN20" s="128"/>
      <c r="BO20" s="128"/>
      <c r="BP20" s="128"/>
      <c r="BQ20" s="128"/>
      <c r="BR20" s="128"/>
      <c r="BS20" s="128"/>
      <c r="BT20" s="128"/>
      <c r="BU20" s="128"/>
      <c r="BV20" s="128"/>
      <c r="BW20" s="128"/>
      <c r="BX20" s="128"/>
      <c r="BY20" s="128"/>
      <c r="BZ20" s="128"/>
      <c r="CA20" s="128"/>
      <c r="CB20" s="128"/>
      <c r="CC20" s="128"/>
      <c r="CD20" s="128"/>
      <c r="CE20" s="128"/>
    </row>
    <row r="21" spans="1:83" s="8" customFormat="1" x14ac:dyDescent="0.2">
      <c r="A21" s="8" t="s">
        <v>10</v>
      </c>
      <c r="B21" s="8" t="s">
        <v>31</v>
      </c>
      <c r="D21" s="8">
        <f>SUM(D13:D20)</f>
        <v>2479</v>
      </c>
      <c r="E21" s="8">
        <f>SUM(E13:E20)</f>
        <v>3077</v>
      </c>
      <c r="F21" s="8">
        <f>SUM(F13:F20)</f>
        <v>3285</v>
      </c>
      <c r="G21" s="8">
        <f t="shared" ref="G21:R21" si="0">SUM(G13:G20)</f>
        <v>3199</v>
      </c>
      <c r="H21" s="8">
        <f t="shared" si="0"/>
        <v>2850</v>
      </c>
      <c r="I21" s="8">
        <f t="shared" si="0"/>
        <v>2159</v>
      </c>
      <c r="J21" s="8">
        <f t="shared" si="0"/>
        <v>2826</v>
      </c>
      <c r="K21" s="8">
        <f t="shared" si="0"/>
        <v>4637</v>
      </c>
      <c r="L21" s="8">
        <f t="shared" si="0"/>
        <v>2165</v>
      </c>
      <c r="M21" s="8">
        <f t="shared" si="0"/>
        <v>1711</v>
      </c>
      <c r="N21" s="8">
        <f t="shared" si="0"/>
        <v>4741</v>
      </c>
      <c r="O21" s="8">
        <f t="shared" si="0"/>
        <v>9282</v>
      </c>
      <c r="P21" s="8">
        <f t="shared" si="0"/>
        <v>2950</v>
      </c>
      <c r="Q21" s="8">
        <f t="shared" si="0"/>
        <v>3690</v>
      </c>
      <c r="R21" s="120">
        <f t="shared" si="0"/>
        <v>3080</v>
      </c>
      <c r="S21" s="120">
        <f t="shared" ref="S21:AE21" si="1">SUM(S13:S20)</f>
        <v>6282</v>
      </c>
      <c r="T21" s="120">
        <f t="shared" si="1"/>
        <v>2749</v>
      </c>
      <c r="U21" s="120">
        <f t="shared" si="1"/>
        <v>5236</v>
      </c>
      <c r="V21" s="201">
        <f t="shared" si="1"/>
        <v>3666</v>
      </c>
      <c r="W21" s="201">
        <f t="shared" si="1"/>
        <v>4586</v>
      </c>
      <c r="X21" s="201">
        <f t="shared" si="1"/>
        <v>2509</v>
      </c>
      <c r="Y21" s="201">
        <f t="shared" si="1"/>
        <v>4576</v>
      </c>
      <c r="Z21" s="201">
        <f t="shared" si="1"/>
        <v>2261</v>
      </c>
      <c r="AA21" s="201">
        <f t="shared" si="1"/>
        <v>3570</v>
      </c>
      <c r="AB21" s="477">
        <f t="shared" si="1"/>
        <v>4277</v>
      </c>
      <c r="AC21" s="485">
        <f t="shared" si="1"/>
        <v>2566</v>
      </c>
      <c r="AD21" s="78">
        <f t="shared" si="1"/>
        <v>4524.1577398195286</v>
      </c>
      <c r="AE21" s="78">
        <f t="shared" si="1"/>
        <v>4783.3881351459104</v>
      </c>
      <c r="AF21" s="78">
        <f>SUM(AF13:AF20)</f>
        <v>5050.2302759711147</v>
      </c>
      <c r="AG21" s="243">
        <f>SUM(AG13:AG20)</f>
        <v>5341.7067482367593</v>
      </c>
      <c r="AH21" s="144"/>
      <c r="AI21" s="144"/>
      <c r="AJ21" s="144"/>
      <c r="AK21" s="144"/>
      <c r="AL21" s="144"/>
      <c r="AM21" s="144"/>
      <c r="AN21" s="144"/>
      <c r="AO21" s="144"/>
      <c r="AP21" s="144"/>
      <c r="AQ21" s="144"/>
      <c r="AR21" s="144"/>
      <c r="AS21" s="144"/>
      <c r="AT21" s="144"/>
      <c r="AU21" s="144"/>
      <c r="AV21" s="144"/>
      <c r="AW21" s="144"/>
      <c r="AX21" s="144"/>
      <c r="AY21" s="144"/>
      <c r="AZ21" s="144"/>
      <c r="BA21" s="144"/>
      <c r="BB21" s="144"/>
      <c r="BC21" s="144"/>
      <c r="BD21" s="144"/>
      <c r="BE21" s="144"/>
      <c r="BF21" s="144"/>
      <c r="BG21" s="144"/>
      <c r="BH21" s="144"/>
      <c r="BI21" s="144"/>
      <c r="BJ21" s="144"/>
      <c r="BK21" s="144"/>
      <c r="BL21" s="144"/>
      <c r="BM21" s="144"/>
      <c r="BN21" s="144"/>
      <c r="BO21" s="144"/>
      <c r="BP21" s="144"/>
      <c r="BQ21" s="144"/>
      <c r="BR21" s="144"/>
      <c r="BS21" s="144"/>
      <c r="BT21" s="144"/>
      <c r="BU21" s="144"/>
      <c r="BV21" s="144"/>
      <c r="BW21" s="144"/>
      <c r="BX21" s="144"/>
      <c r="BY21" s="144"/>
      <c r="BZ21" s="144"/>
      <c r="CA21" s="144"/>
      <c r="CB21" s="144"/>
      <c r="CC21" s="144"/>
      <c r="CD21" s="144"/>
      <c r="CE21" s="144"/>
    </row>
    <row r="22" spans="1:83" s="8" customFormat="1" x14ac:dyDescent="0.2">
      <c r="A22" s="8" t="s">
        <v>8</v>
      </c>
      <c r="B22" s="8" t="s">
        <v>31</v>
      </c>
      <c r="E22" s="8">
        <f>E12-D12-E21</f>
        <v>11</v>
      </c>
      <c r="F22" s="8">
        <f>F12-E12-F21</f>
        <v>17</v>
      </c>
      <c r="G22" s="8">
        <f t="shared" ref="G22:R22" si="2">G12-F12-G21</f>
        <v>18</v>
      </c>
      <c r="H22" s="8">
        <f t="shared" si="2"/>
        <v>0</v>
      </c>
      <c r="I22" s="8">
        <f t="shared" si="2"/>
        <v>0</v>
      </c>
      <c r="J22" s="8">
        <f t="shared" si="2"/>
        <v>0</v>
      </c>
      <c r="K22" s="8">
        <f t="shared" si="2"/>
        <v>0</v>
      </c>
      <c r="L22" s="8">
        <f t="shared" si="2"/>
        <v>0</v>
      </c>
      <c r="M22" s="8">
        <f t="shared" si="2"/>
        <v>0</v>
      </c>
      <c r="N22" s="8">
        <f t="shared" si="2"/>
        <v>0</v>
      </c>
      <c r="O22" s="8">
        <f t="shared" si="2"/>
        <v>0</v>
      </c>
      <c r="P22" s="8">
        <f t="shared" si="2"/>
        <v>0</v>
      </c>
      <c r="Q22" s="8">
        <f t="shared" si="2"/>
        <v>0</v>
      </c>
      <c r="R22" s="120">
        <f t="shared" si="2"/>
        <v>0</v>
      </c>
      <c r="S22" s="120">
        <f t="shared" ref="S22:AG22" si="3">S12-R12-S21</f>
        <v>0</v>
      </c>
      <c r="T22" s="120">
        <f t="shared" si="3"/>
        <v>0</v>
      </c>
      <c r="U22" s="120">
        <f t="shared" si="3"/>
        <v>0</v>
      </c>
      <c r="V22" s="201">
        <f>V12-U12-V21</f>
        <v>0</v>
      </c>
      <c r="W22" s="201">
        <f t="shared" si="3"/>
        <v>0</v>
      </c>
      <c r="X22" s="201">
        <f t="shared" si="3"/>
        <v>0</v>
      </c>
      <c r="Y22" s="201">
        <f t="shared" si="3"/>
        <v>0</v>
      </c>
      <c r="Z22" s="201">
        <f t="shared" si="3"/>
        <v>0</v>
      </c>
      <c r="AA22" s="201">
        <f t="shared" si="3"/>
        <v>0</v>
      </c>
      <c r="AB22" s="477">
        <f t="shared" si="3"/>
        <v>0</v>
      </c>
      <c r="AC22" s="485">
        <f t="shared" si="3"/>
        <v>0</v>
      </c>
      <c r="AD22" s="78">
        <f t="shared" si="3"/>
        <v>0</v>
      </c>
      <c r="AE22" s="78">
        <f t="shared" si="3"/>
        <v>0</v>
      </c>
      <c r="AF22" s="78">
        <f t="shared" si="3"/>
        <v>0</v>
      </c>
      <c r="AG22" s="243">
        <f t="shared" si="3"/>
        <v>0</v>
      </c>
      <c r="AH22" s="144"/>
      <c r="AI22" s="144"/>
      <c r="AJ22" s="144"/>
      <c r="AK22" s="144"/>
      <c r="AL22" s="144"/>
      <c r="AM22" s="144"/>
      <c r="AN22" s="144"/>
      <c r="AO22" s="144"/>
      <c r="AP22" s="144"/>
      <c r="AQ22" s="144"/>
      <c r="AR22" s="144"/>
      <c r="AS22" s="144"/>
      <c r="AT22" s="144"/>
      <c r="AU22" s="144"/>
      <c r="AV22" s="144"/>
      <c r="AW22" s="144"/>
      <c r="AX22" s="144"/>
      <c r="AY22" s="144"/>
      <c r="AZ22" s="144"/>
      <c r="BA22" s="144"/>
      <c r="BB22" s="144"/>
      <c r="BC22" s="144"/>
      <c r="BD22" s="144"/>
      <c r="BE22" s="144"/>
      <c r="BF22" s="144"/>
      <c r="BG22" s="144"/>
      <c r="BH22" s="144"/>
      <c r="BI22" s="144"/>
      <c r="BJ22" s="144"/>
      <c r="BK22" s="144"/>
      <c r="BL22" s="144"/>
      <c r="BM22" s="144"/>
      <c r="BN22" s="144"/>
      <c r="BO22" s="144"/>
      <c r="BP22" s="144"/>
      <c r="BQ22" s="144"/>
      <c r="BR22" s="144"/>
      <c r="BS22" s="144"/>
      <c r="BT22" s="144"/>
      <c r="BU22" s="144"/>
      <c r="BV22" s="144"/>
      <c r="BW22" s="144"/>
      <c r="BX22" s="144"/>
      <c r="BY22" s="144"/>
      <c r="BZ22" s="144"/>
      <c r="CA22" s="144"/>
      <c r="CB22" s="144"/>
      <c r="CC22" s="144"/>
      <c r="CD22" s="144"/>
      <c r="CE22" s="144"/>
    </row>
    <row r="23" spans="1:83" x14ac:dyDescent="0.2">
      <c r="V23" s="202"/>
      <c r="W23" s="202"/>
      <c r="X23" s="590">
        <f t="shared" ref="X23:AF23" si="4">X18/W18</f>
        <v>1.0245901639344261</v>
      </c>
      <c r="Y23" s="590">
        <f t="shared" si="4"/>
        <v>1.0362222222222222</v>
      </c>
      <c r="Z23" s="590">
        <f t="shared" si="4"/>
        <v>1.0559725498606047</v>
      </c>
      <c r="AA23" s="590">
        <f t="shared" si="4"/>
        <v>1.045897644191714</v>
      </c>
      <c r="AB23" s="590">
        <f t="shared" si="4"/>
        <v>1.0302912621359224</v>
      </c>
      <c r="AC23" s="590">
        <f t="shared" si="4"/>
        <v>1.043347154165096</v>
      </c>
      <c r="AD23" s="590">
        <f t="shared" si="4"/>
        <v>1.0286813150615013</v>
      </c>
      <c r="AE23" s="590">
        <f t="shared" si="4"/>
        <v>1.0445637176237865</v>
      </c>
      <c r="AF23" s="590">
        <f t="shared" si="4"/>
        <v>1.0442459600001612</v>
      </c>
      <c r="AG23" s="590">
        <f>AG18/AF18</f>
        <v>1.0437912527984978</v>
      </c>
    </row>
    <row r="24" spans="1:83" x14ac:dyDescent="0.2">
      <c r="V24" s="202"/>
      <c r="W24" s="202"/>
      <c r="X24" s="202"/>
      <c r="Y24" s="202"/>
      <c r="Z24" s="202"/>
      <c r="AA24" s="202"/>
      <c r="AB24" s="473"/>
      <c r="AC24" s="528"/>
      <c r="AD24" s="529"/>
      <c r="AE24" s="529"/>
      <c r="AF24" s="529"/>
      <c r="AG24" s="530"/>
    </row>
    <row r="25" spans="1:83" x14ac:dyDescent="0.2">
      <c r="A25" s="2" t="s">
        <v>13</v>
      </c>
      <c r="B25" s="2"/>
      <c r="C25" s="2"/>
      <c r="D25" s="2"/>
      <c r="V25" s="202"/>
      <c r="W25" s="202"/>
      <c r="X25" s="202"/>
      <c r="Y25" s="202"/>
      <c r="Z25" s="202"/>
      <c r="AA25" s="202"/>
      <c r="AB25" s="473"/>
      <c r="AC25" s="528"/>
      <c r="AD25" s="529"/>
      <c r="AE25" s="529"/>
      <c r="AF25" s="529"/>
      <c r="AG25" s="530"/>
    </row>
    <row r="26" spans="1:83" s="3" customFormat="1" x14ac:dyDescent="0.2">
      <c r="A26" s="3" t="s">
        <v>14</v>
      </c>
      <c r="B26" s="3" t="s">
        <v>29</v>
      </c>
      <c r="C26" s="7">
        <v>18540</v>
      </c>
      <c r="D26" s="7">
        <v>20124</v>
      </c>
      <c r="E26" s="7">
        <v>24697</v>
      </c>
      <c r="F26" s="7">
        <v>27773</v>
      </c>
      <c r="G26" s="7">
        <v>33711</v>
      </c>
      <c r="H26" s="7">
        <v>34494</v>
      </c>
      <c r="I26" s="7">
        <v>40137</v>
      </c>
      <c r="J26" s="7">
        <v>47429</v>
      </c>
      <c r="K26" s="7">
        <v>54479</v>
      </c>
      <c r="L26" s="7">
        <v>59170</v>
      </c>
      <c r="M26" s="7">
        <v>68303</v>
      </c>
      <c r="N26" s="7">
        <v>73121</v>
      </c>
      <c r="O26" s="7">
        <v>69456</v>
      </c>
      <c r="P26" s="7">
        <v>66213</v>
      </c>
      <c r="Q26" s="7">
        <v>75677</v>
      </c>
      <c r="R26" s="119">
        <v>84326</v>
      </c>
      <c r="S26" s="119">
        <v>96128</v>
      </c>
      <c r="T26" s="119">
        <v>106014</v>
      </c>
      <c r="U26" s="119">
        <v>108546</v>
      </c>
      <c r="V26" s="203">
        <v>87433</v>
      </c>
      <c r="W26" s="203">
        <v>96408</v>
      </c>
      <c r="X26" s="203">
        <v>107590</v>
      </c>
      <c r="Y26" s="222">
        <v>117099</v>
      </c>
      <c r="Z26" s="222">
        <v>129524</v>
      </c>
      <c r="AA26" s="222">
        <v>140764</v>
      </c>
      <c r="AB26" s="474">
        <v>154476</v>
      </c>
      <c r="AC26" s="484">
        <v>171420</v>
      </c>
      <c r="AD26" s="536">
        <v>179866.87488462828</v>
      </c>
      <c r="AE26" s="536">
        <v>188724.14824921408</v>
      </c>
      <c r="AF26" s="536">
        <v>197994.25039928145</v>
      </c>
      <c r="AG26" s="537">
        <v>207697.4054389525</v>
      </c>
      <c r="AH26" s="128"/>
      <c r="AI26" s="128"/>
      <c r="AJ26" s="128"/>
      <c r="AK26" s="128"/>
      <c r="AL26" s="128"/>
      <c r="AM26" s="128"/>
      <c r="AN26" s="128"/>
      <c r="AO26" s="128"/>
      <c r="AP26" s="128"/>
      <c r="AQ26" s="128"/>
      <c r="AR26" s="128"/>
      <c r="AS26" s="128"/>
      <c r="AT26" s="128"/>
      <c r="AU26" s="128"/>
      <c r="AV26" s="128"/>
      <c r="AW26" s="128"/>
      <c r="AX26" s="128"/>
      <c r="AY26" s="128"/>
      <c r="AZ26" s="128"/>
      <c r="BA26" s="128"/>
      <c r="BB26" s="128"/>
      <c r="BC26" s="128"/>
      <c r="BD26" s="128"/>
      <c r="BE26" s="128"/>
      <c r="BF26" s="128"/>
      <c r="BG26" s="128"/>
      <c r="BH26" s="128"/>
      <c r="BI26" s="128"/>
      <c r="BJ26" s="128"/>
      <c r="BK26" s="128"/>
      <c r="BL26" s="128"/>
      <c r="BM26" s="128"/>
      <c r="BN26" s="128"/>
      <c r="BO26" s="128"/>
      <c r="BP26" s="128"/>
      <c r="BQ26" s="128"/>
      <c r="BR26" s="128"/>
      <c r="BS26" s="128"/>
      <c r="BT26" s="128"/>
      <c r="BU26" s="128"/>
      <c r="BV26" s="128"/>
      <c r="BW26" s="128"/>
      <c r="BX26" s="128"/>
      <c r="BY26" s="128"/>
      <c r="BZ26" s="128"/>
      <c r="CA26" s="128"/>
      <c r="CB26" s="128"/>
      <c r="CC26" s="128"/>
      <c r="CD26" s="128"/>
      <c r="CE26" s="128"/>
    </row>
    <row r="27" spans="1:83" s="3" customFormat="1" x14ac:dyDescent="0.2">
      <c r="A27" s="298" t="s">
        <v>449</v>
      </c>
      <c r="B27" s="3" t="s">
        <v>28</v>
      </c>
      <c r="C27" s="7"/>
      <c r="D27" s="7">
        <v>709</v>
      </c>
      <c r="E27" s="29">
        <v>-883</v>
      </c>
      <c r="F27" s="29">
        <v>-414</v>
      </c>
      <c r="G27" s="29">
        <v>-2947</v>
      </c>
      <c r="H27" s="7">
        <v>-252</v>
      </c>
      <c r="I27" s="7">
        <v>-2045</v>
      </c>
      <c r="J27" s="7">
        <v>-4416</v>
      </c>
      <c r="K27" s="7">
        <v>-5578</v>
      </c>
      <c r="L27" s="7">
        <v>-4788</v>
      </c>
      <c r="M27" s="7">
        <v>-7264</v>
      </c>
      <c r="N27" s="7">
        <v>-4341</v>
      </c>
      <c r="O27" s="7">
        <v>2973</v>
      </c>
      <c r="P27" s="7">
        <v>9644</v>
      </c>
      <c r="Q27" s="7">
        <v>3480</v>
      </c>
      <c r="R27" s="119">
        <v>-1535</v>
      </c>
      <c r="S27" s="119">
        <v>-7434</v>
      </c>
      <c r="T27" s="119">
        <v>-11164</v>
      </c>
      <c r="U27" s="119">
        <v>-3629</v>
      </c>
      <c r="V27" s="203">
        <v>19524</v>
      </c>
      <c r="W27" s="203">
        <v>12704</v>
      </c>
      <c r="X27" s="203">
        <v>6656</v>
      </c>
      <c r="Y27" s="222">
        <v>-1414</v>
      </c>
      <c r="Z27" s="222">
        <v>-9660</v>
      </c>
      <c r="AA27" s="222">
        <v>-9897</v>
      </c>
      <c r="AB27" s="475">
        <v>-11400</v>
      </c>
      <c r="AC27" s="539">
        <v>-14442</v>
      </c>
      <c r="AD27" s="540">
        <v>-9061</v>
      </c>
      <c r="AE27" s="540">
        <v>-4991</v>
      </c>
      <c r="AF27" s="540">
        <v>-1855</v>
      </c>
      <c r="AG27" s="541">
        <v>0</v>
      </c>
      <c r="AH27" s="128"/>
      <c r="AI27" s="128"/>
      <c r="AJ27" s="128"/>
      <c r="AK27" s="128"/>
      <c r="AL27" s="128"/>
      <c r="AM27" s="128"/>
      <c r="AN27" s="128"/>
      <c r="AO27" s="128"/>
      <c r="AP27" s="128"/>
      <c r="AQ27" s="128"/>
      <c r="AR27" s="128"/>
      <c r="AS27" s="128"/>
      <c r="AT27" s="128"/>
      <c r="AU27" s="128"/>
      <c r="AV27" s="128"/>
      <c r="AW27" s="128"/>
      <c r="AX27" s="128"/>
      <c r="AY27" s="128"/>
      <c r="AZ27" s="128"/>
      <c r="BA27" s="128"/>
      <c r="BB27" s="128"/>
      <c r="BC27" s="128"/>
      <c r="BD27" s="128"/>
      <c r="BE27" s="128"/>
      <c r="BF27" s="128"/>
      <c r="BG27" s="128"/>
      <c r="BH27" s="128"/>
      <c r="BI27" s="128"/>
      <c r="BJ27" s="128"/>
      <c r="BK27" s="128"/>
      <c r="BL27" s="128"/>
      <c r="BM27" s="128"/>
      <c r="BN27" s="128"/>
      <c r="BO27" s="128"/>
      <c r="BP27" s="128"/>
      <c r="BQ27" s="128"/>
      <c r="BR27" s="128"/>
      <c r="BS27" s="128"/>
      <c r="BT27" s="128"/>
      <c r="BU27" s="128"/>
      <c r="BV27" s="128"/>
      <c r="BW27" s="128"/>
      <c r="BX27" s="128"/>
      <c r="BY27" s="128"/>
      <c r="BZ27" s="128"/>
      <c r="CA27" s="128"/>
      <c r="CB27" s="128"/>
      <c r="CC27" s="128"/>
      <c r="CD27" s="128"/>
      <c r="CE27" s="128"/>
    </row>
    <row r="28" spans="1:83" s="8" customFormat="1" x14ac:dyDescent="0.2">
      <c r="A28" s="8" t="s">
        <v>22</v>
      </c>
      <c r="B28" s="8" t="s">
        <v>31</v>
      </c>
      <c r="C28" s="10">
        <v>18540</v>
      </c>
      <c r="D28" s="10">
        <v>20124</v>
      </c>
      <c r="E28" s="10">
        <v>24697</v>
      </c>
      <c r="F28" s="10">
        <v>27773</v>
      </c>
      <c r="G28" s="10">
        <v>33711</v>
      </c>
      <c r="H28" s="8">
        <f t="shared" ref="H28:R28" si="5">H26+H27</f>
        <v>34242</v>
      </c>
      <c r="I28" s="8">
        <f t="shared" si="5"/>
        <v>38092</v>
      </c>
      <c r="J28" s="8">
        <f t="shared" si="5"/>
        <v>43013</v>
      </c>
      <c r="K28" s="8">
        <f t="shared" si="5"/>
        <v>48901</v>
      </c>
      <c r="L28" s="8">
        <f t="shared" si="5"/>
        <v>54382</v>
      </c>
      <c r="M28" s="8">
        <f t="shared" si="5"/>
        <v>61039</v>
      </c>
      <c r="N28" s="8">
        <f t="shared" si="5"/>
        <v>68780</v>
      </c>
      <c r="O28" s="8">
        <f t="shared" si="5"/>
        <v>72429</v>
      </c>
      <c r="P28" s="8">
        <f t="shared" si="5"/>
        <v>75857</v>
      </c>
      <c r="Q28" s="8">
        <f t="shared" si="5"/>
        <v>79157</v>
      </c>
      <c r="R28" s="120">
        <f t="shared" si="5"/>
        <v>82791</v>
      </c>
      <c r="S28" s="120">
        <f t="shared" ref="S28:AE28" si="6">S26+S27</f>
        <v>88694</v>
      </c>
      <c r="T28" s="120">
        <f t="shared" si="6"/>
        <v>94850</v>
      </c>
      <c r="U28" s="120">
        <f t="shared" si="6"/>
        <v>104917</v>
      </c>
      <c r="V28" s="201">
        <f t="shared" si="6"/>
        <v>106957</v>
      </c>
      <c r="W28" s="201">
        <f t="shared" si="6"/>
        <v>109112</v>
      </c>
      <c r="X28" s="201">
        <f t="shared" si="6"/>
        <v>114246</v>
      </c>
      <c r="Y28" s="201">
        <f t="shared" si="6"/>
        <v>115685</v>
      </c>
      <c r="Z28" s="201">
        <f t="shared" si="6"/>
        <v>119864</v>
      </c>
      <c r="AA28" s="201">
        <f t="shared" si="6"/>
        <v>130867</v>
      </c>
      <c r="AB28" s="477">
        <f t="shared" si="6"/>
        <v>143076</v>
      </c>
      <c r="AC28" s="485">
        <f t="shared" si="6"/>
        <v>156978</v>
      </c>
      <c r="AD28" s="78">
        <f t="shared" si="6"/>
        <v>170805.87488462828</v>
      </c>
      <c r="AE28" s="78">
        <f t="shared" si="6"/>
        <v>183733.14824921408</v>
      </c>
      <c r="AF28" s="78">
        <f>AF26+AF27</f>
        <v>196139.25039928145</v>
      </c>
      <c r="AG28" s="243">
        <f>AG26+AG27</f>
        <v>207697.4054389525</v>
      </c>
      <c r="AH28" s="144"/>
      <c r="AI28" s="144"/>
      <c r="AJ28" s="144"/>
      <c r="AK28" s="144"/>
      <c r="AL28" s="144"/>
      <c r="AM28" s="144"/>
      <c r="AN28" s="144"/>
      <c r="AO28" s="144"/>
      <c r="AP28" s="144"/>
      <c r="AQ28" s="144"/>
      <c r="AR28" s="144"/>
      <c r="AS28" s="144"/>
      <c r="AT28" s="144"/>
      <c r="AU28" s="144"/>
      <c r="AV28" s="144"/>
      <c r="AW28" s="144"/>
      <c r="AX28" s="144"/>
      <c r="AY28" s="144"/>
      <c r="AZ28" s="144"/>
      <c r="BA28" s="144"/>
      <c r="BB28" s="144"/>
      <c r="BC28" s="144"/>
      <c r="BD28" s="144"/>
      <c r="BE28" s="144"/>
      <c r="BF28" s="144"/>
      <c r="BG28" s="144"/>
      <c r="BH28" s="144"/>
      <c r="BI28" s="144"/>
      <c r="BJ28" s="144"/>
      <c r="BK28" s="144"/>
      <c r="BL28" s="144"/>
      <c r="BM28" s="144"/>
      <c r="BN28" s="144"/>
      <c r="BO28" s="144"/>
      <c r="BP28" s="144"/>
      <c r="BQ28" s="144"/>
      <c r="BR28" s="144"/>
      <c r="BS28" s="144"/>
      <c r="BT28" s="144"/>
      <c r="BU28" s="144"/>
      <c r="BV28" s="144"/>
      <c r="BW28" s="144"/>
      <c r="BX28" s="144"/>
      <c r="BY28" s="144"/>
      <c r="BZ28" s="144"/>
      <c r="CA28" s="144"/>
      <c r="CB28" s="144"/>
      <c r="CC28" s="144"/>
      <c r="CD28" s="144"/>
      <c r="CE28" s="144"/>
    </row>
    <row r="29" spans="1:83" s="3" customFormat="1" x14ac:dyDescent="0.2">
      <c r="A29" s="3" t="s">
        <v>15</v>
      </c>
      <c r="B29" s="3" t="s">
        <v>32</v>
      </c>
      <c r="D29" s="30" t="s">
        <v>12</v>
      </c>
      <c r="E29" s="30" t="s">
        <v>12</v>
      </c>
      <c r="F29" s="30" t="s">
        <v>12</v>
      </c>
      <c r="G29" s="30" t="s">
        <v>12</v>
      </c>
      <c r="H29" s="10">
        <v>70</v>
      </c>
      <c r="I29" s="10">
        <v>79</v>
      </c>
      <c r="J29" s="10">
        <v>61</v>
      </c>
      <c r="K29" s="10">
        <v>68</v>
      </c>
      <c r="L29" s="10">
        <v>53</v>
      </c>
      <c r="M29" s="10">
        <v>44</v>
      </c>
      <c r="N29" s="10">
        <v>41</v>
      </c>
      <c r="O29" s="10">
        <v>44</v>
      </c>
      <c r="P29" s="10">
        <v>54</v>
      </c>
      <c r="Q29" s="10">
        <v>43</v>
      </c>
      <c r="R29" s="121">
        <v>40</v>
      </c>
      <c r="S29" s="121">
        <v>36</v>
      </c>
      <c r="T29" s="121">
        <v>34</v>
      </c>
      <c r="U29" s="121">
        <v>31</v>
      </c>
      <c r="V29" s="203">
        <v>47</v>
      </c>
      <c r="W29" s="203">
        <v>57.981786999999997</v>
      </c>
      <c r="X29" s="203">
        <v>58.585501000000001</v>
      </c>
      <c r="Y29" s="222">
        <v>39.720883999999998</v>
      </c>
      <c r="Z29" s="222">
        <v>39.268236999999999</v>
      </c>
      <c r="AA29" s="222">
        <v>37.903300000000002</v>
      </c>
      <c r="AB29" s="474">
        <v>36.734502999999997</v>
      </c>
      <c r="AC29" s="484">
        <v>38</v>
      </c>
      <c r="AD29" s="536">
        <v>43.364365411764709</v>
      </c>
      <c r="AE29" s="536">
        <v>43.364365411764709</v>
      </c>
      <c r="AF29" s="536">
        <v>43.364365411764709</v>
      </c>
      <c r="AG29" s="537">
        <v>43.364365411764709</v>
      </c>
      <c r="AH29" s="128"/>
      <c r="AI29" s="128"/>
      <c r="AJ29" s="128"/>
      <c r="AK29" s="128"/>
      <c r="AL29" s="128"/>
      <c r="AM29" s="128"/>
      <c r="AN29" s="128"/>
      <c r="AO29" s="128"/>
      <c r="AP29" s="128"/>
      <c r="AQ29" s="128"/>
      <c r="AR29" s="128"/>
      <c r="AS29" s="128"/>
      <c r="AT29" s="128"/>
      <c r="AU29" s="128"/>
      <c r="AV29" s="128"/>
      <c r="AW29" s="128"/>
      <c r="AX29" s="128"/>
      <c r="AY29" s="128"/>
      <c r="AZ29" s="128"/>
      <c r="BA29" s="128"/>
      <c r="BB29" s="128"/>
      <c r="BC29" s="128"/>
      <c r="BD29" s="128"/>
      <c r="BE29" s="128"/>
      <c r="BF29" s="128"/>
      <c r="BG29" s="128"/>
      <c r="BH29" s="128"/>
      <c r="BI29" s="128"/>
      <c r="BJ29" s="128"/>
      <c r="BK29" s="128"/>
      <c r="BL29" s="128"/>
      <c r="BM29" s="128"/>
      <c r="BN29" s="128"/>
      <c r="BO29" s="128"/>
      <c r="BP29" s="128"/>
      <c r="BQ29" s="128"/>
      <c r="BR29" s="128"/>
      <c r="BS29" s="128"/>
      <c r="BT29" s="128"/>
      <c r="BU29" s="128"/>
      <c r="BV29" s="128"/>
      <c r="BW29" s="128"/>
      <c r="BX29" s="128"/>
      <c r="BY29" s="128"/>
      <c r="BZ29" s="128"/>
      <c r="CA29" s="128"/>
      <c r="CB29" s="128"/>
      <c r="CC29" s="128"/>
      <c r="CD29" s="128"/>
      <c r="CE29" s="128"/>
    </row>
    <row r="30" spans="1:83" x14ac:dyDescent="0.2">
      <c r="V30" s="202"/>
      <c r="W30" s="202"/>
      <c r="X30" s="202"/>
      <c r="Y30" s="202"/>
      <c r="Z30" s="202"/>
      <c r="AA30" s="202"/>
      <c r="AB30" s="473"/>
      <c r="AC30" s="528"/>
      <c r="AD30" s="529"/>
      <c r="AE30" s="529"/>
      <c r="AF30" s="529"/>
      <c r="AG30" s="530"/>
    </row>
    <row r="31" spans="1:83" x14ac:dyDescent="0.2">
      <c r="A31" s="2" t="s">
        <v>23</v>
      </c>
      <c r="B31" s="2"/>
      <c r="C31" s="2"/>
      <c r="D31" s="2"/>
      <c r="V31" s="202"/>
      <c r="W31" s="202"/>
      <c r="X31" s="202"/>
      <c r="Y31" s="202"/>
      <c r="Z31" s="202"/>
      <c r="AA31" s="202"/>
      <c r="AB31" s="473"/>
      <c r="AC31" s="528"/>
      <c r="AD31" s="529"/>
      <c r="AE31" s="529"/>
      <c r="AF31" s="529"/>
      <c r="AG31" s="530"/>
    </row>
    <row r="32" spans="1:83" s="3" customFormat="1" x14ac:dyDescent="0.2">
      <c r="A32" s="3" t="s">
        <v>16</v>
      </c>
      <c r="B32" s="3" t="s">
        <v>32</v>
      </c>
      <c r="D32" s="7">
        <v>526</v>
      </c>
      <c r="E32" s="7">
        <v>597</v>
      </c>
      <c r="F32" s="7">
        <v>674</v>
      </c>
      <c r="G32" s="7">
        <v>663</v>
      </c>
      <c r="H32" s="7">
        <v>710</v>
      </c>
      <c r="I32" s="7">
        <v>617</v>
      </c>
      <c r="J32" s="7">
        <v>610</v>
      </c>
      <c r="K32" s="7">
        <v>582</v>
      </c>
      <c r="L32" s="7">
        <v>607</v>
      </c>
      <c r="M32" s="7">
        <v>620</v>
      </c>
      <c r="N32" s="7">
        <v>615</v>
      </c>
      <c r="O32" s="7">
        <v>628</v>
      </c>
      <c r="P32" s="7">
        <v>664</v>
      </c>
      <c r="Q32" s="7">
        <v>693</v>
      </c>
      <c r="R32" s="119">
        <v>725</v>
      </c>
      <c r="S32" s="119">
        <v>771</v>
      </c>
      <c r="T32" s="119">
        <v>795</v>
      </c>
      <c r="U32" s="119">
        <v>1040</v>
      </c>
      <c r="V32" s="203">
        <v>1117</v>
      </c>
      <c r="W32" s="203">
        <v>1278</v>
      </c>
      <c r="X32" s="203">
        <v>1313</v>
      </c>
      <c r="Y32" s="222">
        <f>1377</f>
        <v>1377</v>
      </c>
      <c r="Z32" s="222">
        <v>1446</v>
      </c>
      <c r="AA32" s="222">
        <v>1511</v>
      </c>
      <c r="AB32" s="474">
        <v>1578</v>
      </c>
      <c r="AC32" s="484">
        <v>1615</v>
      </c>
      <c r="AD32" s="536">
        <v>1676.5191256830601</v>
      </c>
      <c r="AE32" s="536">
        <v>1744.1940655737703</v>
      </c>
      <c r="AF32" s="536">
        <v>1805.014361092896</v>
      </c>
      <c r="AG32" s="537">
        <v>1867.9422996841527</v>
      </c>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c r="BG32" s="128"/>
      <c r="BH32" s="128"/>
      <c r="BI32" s="128"/>
      <c r="BJ32" s="128"/>
      <c r="BK32" s="128"/>
      <c r="BL32" s="128"/>
      <c r="BM32" s="128"/>
      <c r="BN32" s="128"/>
      <c r="BO32" s="128"/>
      <c r="BP32" s="128"/>
      <c r="BQ32" s="128"/>
      <c r="BR32" s="128"/>
      <c r="BS32" s="128"/>
      <c r="BT32" s="128"/>
      <c r="BU32" s="128"/>
      <c r="BV32" s="128"/>
      <c r="BW32" s="128"/>
      <c r="BX32" s="128"/>
      <c r="BY32" s="128"/>
      <c r="BZ32" s="128"/>
      <c r="CA32" s="128"/>
      <c r="CB32" s="128"/>
      <c r="CC32" s="128"/>
      <c r="CD32" s="128"/>
      <c r="CE32" s="128"/>
    </row>
    <row r="33" spans="1:83" s="3" customFormat="1" x14ac:dyDescent="0.2">
      <c r="A33" s="3" t="s">
        <v>17</v>
      </c>
      <c r="B33" s="3" t="s">
        <v>32</v>
      </c>
      <c r="D33" s="7">
        <v>8</v>
      </c>
      <c r="E33" s="7">
        <v>9</v>
      </c>
      <c r="F33" s="7">
        <v>46</v>
      </c>
      <c r="G33" s="7">
        <v>35</v>
      </c>
      <c r="H33" s="7">
        <v>9</v>
      </c>
      <c r="I33" s="7">
        <v>9</v>
      </c>
      <c r="J33" s="7">
        <v>9</v>
      </c>
      <c r="K33" s="7">
        <v>8</v>
      </c>
      <c r="L33" s="7">
        <v>14</v>
      </c>
      <c r="M33" s="7">
        <v>9</v>
      </c>
      <c r="N33" s="7">
        <v>9</v>
      </c>
      <c r="O33" s="7">
        <v>10</v>
      </c>
      <c r="P33" s="7">
        <v>11</v>
      </c>
      <c r="Q33" s="7">
        <v>12</v>
      </c>
      <c r="R33" s="119">
        <v>12</v>
      </c>
      <c r="S33" s="119">
        <v>13</v>
      </c>
      <c r="T33" s="119">
        <v>14</v>
      </c>
      <c r="U33" s="119">
        <v>19</v>
      </c>
      <c r="V33" s="203">
        <v>21</v>
      </c>
      <c r="W33" s="203">
        <v>24</v>
      </c>
      <c r="X33" s="203">
        <v>25.194857142857138</v>
      </c>
      <c r="Y33" s="222">
        <v>26</v>
      </c>
      <c r="Z33" s="222">
        <v>27.716232142857141</v>
      </c>
      <c r="AA33" s="222">
        <v>29</v>
      </c>
      <c r="AB33" s="474">
        <v>32</v>
      </c>
      <c r="AC33" s="484">
        <v>33</v>
      </c>
      <c r="AD33" s="536">
        <v>34.361475409836068</v>
      </c>
      <c r="AE33" s="536">
        <v>35.774939344262293</v>
      </c>
      <c r="AF33" s="536">
        <v>37.04523665573771</v>
      </c>
      <c r="AG33" s="537">
        <v>38.359554360491806</v>
      </c>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c r="BH33" s="128"/>
      <c r="BI33" s="128"/>
      <c r="BJ33" s="128"/>
      <c r="BK33" s="128"/>
      <c r="BL33" s="128"/>
      <c r="BM33" s="128"/>
      <c r="BN33" s="128"/>
      <c r="BO33" s="128"/>
      <c r="BP33" s="128"/>
      <c r="BQ33" s="128"/>
      <c r="BR33" s="128"/>
      <c r="BS33" s="128"/>
      <c r="BT33" s="128"/>
      <c r="BU33" s="128"/>
      <c r="BV33" s="128"/>
      <c r="BW33" s="128"/>
      <c r="BX33" s="128"/>
      <c r="BY33" s="128"/>
      <c r="BZ33" s="128"/>
      <c r="CA33" s="128"/>
      <c r="CB33" s="128"/>
      <c r="CC33" s="128"/>
      <c r="CD33" s="128"/>
      <c r="CE33" s="128"/>
    </row>
    <row r="34" spans="1:83" s="3" customFormat="1" x14ac:dyDescent="0.2">
      <c r="A34" s="3" t="s">
        <v>18</v>
      </c>
      <c r="B34" s="3" t="s">
        <v>32</v>
      </c>
      <c r="D34" s="7"/>
      <c r="E34" s="7"/>
      <c r="F34" s="7"/>
      <c r="G34" s="7"/>
      <c r="H34" s="7">
        <v>22</v>
      </c>
      <c r="I34" s="7">
        <v>19</v>
      </c>
      <c r="J34" s="7">
        <v>10</v>
      </c>
      <c r="K34" s="7">
        <v>9</v>
      </c>
      <c r="L34" s="7">
        <v>5</v>
      </c>
      <c r="M34" s="7">
        <v>10</v>
      </c>
      <c r="N34" s="7">
        <v>9</v>
      </c>
      <c r="O34" s="7">
        <v>9</v>
      </c>
      <c r="P34" s="7">
        <v>18</v>
      </c>
      <c r="Q34" s="7">
        <v>17</v>
      </c>
      <c r="R34" s="119">
        <v>12</v>
      </c>
      <c r="S34" s="119">
        <v>10</v>
      </c>
      <c r="T34" s="119">
        <v>17</v>
      </c>
      <c r="U34" s="119">
        <v>19</v>
      </c>
      <c r="V34" s="203">
        <v>17</v>
      </c>
      <c r="W34" s="203">
        <v>13</v>
      </c>
      <c r="X34" s="203">
        <v>11</v>
      </c>
      <c r="Y34" s="222">
        <v>14</v>
      </c>
      <c r="Z34" s="222">
        <v>12</v>
      </c>
      <c r="AA34" s="222">
        <v>14</v>
      </c>
      <c r="AB34" s="474">
        <v>13</v>
      </c>
      <c r="AC34" s="484">
        <v>14</v>
      </c>
      <c r="AD34" s="536">
        <v>13</v>
      </c>
      <c r="AE34" s="536">
        <v>13</v>
      </c>
      <c r="AF34" s="536">
        <v>13</v>
      </c>
      <c r="AG34" s="537">
        <v>13</v>
      </c>
      <c r="AH34" s="128"/>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c r="BH34" s="128"/>
      <c r="BI34" s="128"/>
      <c r="BJ34" s="128"/>
      <c r="BK34" s="128"/>
      <c r="BL34" s="128"/>
      <c r="BM34" s="128"/>
      <c r="BN34" s="128"/>
      <c r="BO34" s="128"/>
      <c r="BP34" s="128"/>
      <c r="BQ34" s="128"/>
      <c r="BR34" s="128"/>
      <c r="BS34" s="128"/>
      <c r="BT34" s="128"/>
      <c r="BU34" s="128"/>
      <c r="BV34" s="128"/>
      <c r="BW34" s="128"/>
      <c r="BX34" s="128"/>
      <c r="BY34" s="128"/>
      <c r="BZ34" s="128"/>
      <c r="CA34" s="128"/>
      <c r="CB34" s="128"/>
      <c r="CC34" s="128"/>
      <c r="CD34" s="128"/>
      <c r="CE34" s="128"/>
    </row>
    <row r="35" spans="1:83" s="3" customFormat="1" x14ac:dyDescent="0.2">
      <c r="A35" s="3" t="s">
        <v>19</v>
      </c>
      <c r="B35" s="3" t="s">
        <v>32</v>
      </c>
      <c r="D35" s="7">
        <v>579</v>
      </c>
      <c r="E35" s="7">
        <v>654</v>
      </c>
      <c r="F35" s="7">
        <v>731</v>
      </c>
      <c r="G35" s="7">
        <v>703</v>
      </c>
      <c r="H35" s="7">
        <v>695</v>
      </c>
      <c r="I35" s="7">
        <v>660</v>
      </c>
      <c r="J35" s="7">
        <v>664</v>
      </c>
      <c r="K35" s="7">
        <v>641</v>
      </c>
      <c r="L35" s="7">
        <v>639</v>
      </c>
      <c r="M35" s="7">
        <v>646</v>
      </c>
      <c r="N35" s="7">
        <v>648</v>
      </c>
      <c r="O35" s="7">
        <v>665</v>
      </c>
      <c r="P35" s="7">
        <v>690</v>
      </c>
      <c r="Q35" s="7">
        <v>713</v>
      </c>
      <c r="R35" s="119">
        <v>746</v>
      </c>
      <c r="S35" s="119">
        <v>781</v>
      </c>
      <c r="T35" s="119">
        <v>820</v>
      </c>
      <c r="U35" s="119">
        <v>1060</v>
      </c>
      <c r="V35" s="203">
        <v>1156</v>
      </c>
      <c r="W35" s="203">
        <v>1408</v>
      </c>
      <c r="X35" s="203">
        <v>1348</v>
      </c>
      <c r="Y35" s="222">
        <f>1406</f>
        <v>1406</v>
      </c>
      <c r="Z35" s="222">
        <v>1458</v>
      </c>
      <c r="AA35" s="222">
        <f>1527-AA36</f>
        <v>1526</v>
      </c>
      <c r="AB35" s="474">
        <f>1593-AB36</f>
        <v>1592</v>
      </c>
      <c r="AC35" s="484">
        <f>1637-AC36</f>
        <v>1636</v>
      </c>
      <c r="AD35" s="536">
        <v>1704.024043715847</v>
      </c>
      <c r="AE35" s="536">
        <v>1771.1849967213113</v>
      </c>
      <c r="AF35" s="536">
        <v>1831.5433659453552</v>
      </c>
      <c r="AG35" s="537">
        <v>1893.9933708257922</v>
      </c>
      <c r="AH35" s="128"/>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c r="BH35" s="128"/>
      <c r="BI35" s="128"/>
      <c r="BJ35" s="128"/>
      <c r="BK35" s="128"/>
      <c r="BL35" s="128"/>
      <c r="BM35" s="128"/>
      <c r="BN35" s="128"/>
      <c r="BO35" s="128"/>
      <c r="BP35" s="128"/>
      <c r="BQ35" s="128"/>
      <c r="BR35" s="128"/>
      <c r="BS35" s="128"/>
      <c r="BT35" s="128"/>
      <c r="BU35" s="128"/>
      <c r="BV35" s="128"/>
      <c r="BW35" s="128"/>
      <c r="BX35" s="128"/>
      <c r="BY35" s="128"/>
      <c r="BZ35" s="128"/>
      <c r="CA35" s="128"/>
      <c r="CB35" s="128"/>
      <c r="CC35" s="128"/>
      <c r="CD35" s="128"/>
      <c r="CE35" s="128"/>
    </row>
    <row r="36" spans="1:83" s="122" customFormat="1" x14ac:dyDescent="0.2">
      <c r="A36" s="147" t="s">
        <v>408</v>
      </c>
      <c r="B36" s="122" t="s">
        <v>32</v>
      </c>
      <c r="D36" s="119"/>
      <c r="E36" s="119"/>
      <c r="F36" s="119"/>
      <c r="G36" s="119"/>
      <c r="H36" s="119"/>
      <c r="I36" s="119"/>
      <c r="J36" s="119"/>
      <c r="K36" s="119"/>
      <c r="L36" s="119"/>
      <c r="M36" s="119"/>
      <c r="N36" s="119"/>
      <c r="O36" s="119"/>
      <c r="P36" s="119"/>
      <c r="Q36" s="119"/>
      <c r="R36" s="119"/>
      <c r="S36" s="119"/>
      <c r="T36" s="119"/>
      <c r="U36" s="119"/>
      <c r="V36" s="203"/>
      <c r="W36" s="203"/>
      <c r="X36" s="203"/>
      <c r="Y36" s="222"/>
      <c r="Z36" s="222"/>
      <c r="AA36" s="222">
        <v>1</v>
      </c>
      <c r="AB36" s="474">
        <v>1</v>
      </c>
      <c r="AC36" s="484">
        <v>1</v>
      </c>
      <c r="AD36" s="536"/>
      <c r="AE36" s="536"/>
      <c r="AF36" s="536"/>
      <c r="AG36" s="537"/>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8"/>
      <c r="BQ36" s="128"/>
      <c r="BR36" s="128"/>
      <c r="BS36" s="128"/>
      <c r="BT36" s="128"/>
      <c r="BU36" s="128"/>
      <c r="BV36" s="128"/>
      <c r="BW36" s="128"/>
      <c r="BX36" s="128"/>
      <c r="BY36" s="128"/>
      <c r="BZ36" s="128"/>
      <c r="CA36" s="128"/>
      <c r="CB36" s="128"/>
      <c r="CC36" s="128"/>
      <c r="CD36" s="128"/>
      <c r="CE36" s="128"/>
    </row>
    <row r="37" spans="1:83" s="3" customFormat="1" x14ac:dyDescent="0.2">
      <c r="A37" s="3" t="s">
        <v>20</v>
      </c>
      <c r="B37" s="3" t="s">
        <v>32</v>
      </c>
      <c r="D37" s="7">
        <v>187</v>
      </c>
      <c r="E37" s="7">
        <v>270</v>
      </c>
      <c r="F37" s="7">
        <v>438</v>
      </c>
      <c r="G37" s="7">
        <v>0</v>
      </c>
      <c r="H37" s="7">
        <v>0</v>
      </c>
      <c r="I37" s="7">
        <v>0</v>
      </c>
      <c r="J37" s="7">
        <v>152</v>
      </c>
      <c r="K37" s="7">
        <v>456</v>
      </c>
      <c r="L37" s="7">
        <v>492</v>
      </c>
      <c r="M37" s="7">
        <v>128</v>
      </c>
      <c r="N37" s="7">
        <v>0</v>
      </c>
      <c r="O37" s="7">
        <v>0</v>
      </c>
      <c r="P37" s="7"/>
      <c r="Q37" s="7"/>
      <c r="R37" s="119"/>
      <c r="S37" s="119"/>
      <c r="T37" s="119"/>
      <c r="U37" s="119"/>
      <c r="V37" s="203"/>
      <c r="W37" s="203"/>
      <c r="X37" s="203"/>
      <c r="Y37" s="222"/>
      <c r="Z37" s="222"/>
      <c r="AA37" s="222"/>
      <c r="AB37" s="475"/>
      <c r="AC37" s="539"/>
      <c r="AD37" s="540"/>
      <c r="AE37" s="540"/>
      <c r="AF37" s="540"/>
      <c r="AG37" s="541"/>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8"/>
      <c r="BQ37" s="128"/>
      <c r="BR37" s="128"/>
      <c r="BS37" s="128"/>
      <c r="BT37" s="128"/>
      <c r="BU37" s="128"/>
      <c r="BV37" s="128"/>
      <c r="BW37" s="128"/>
      <c r="BX37" s="128"/>
      <c r="BY37" s="128"/>
      <c r="BZ37" s="128"/>
      <c r="CA37" s="128"/>
      <c r="CB37" s="128"/>
      <c r="CC37" s="128"/>
      <c r="CD37" s="128"/>
      <c r="CE37" s="128"/>
    </row>
    <row r="38" spans="1:83" s="8" customFormat="1" x14ac:dyDescent="0.2">
      <c r="A38" s="8" t="s">
        <v>21</v>
      </c>
      <c r="B38" s="8" t="s">
        <v>31</v>
      </c>
      <c r="D38" s="8">
        <f>SUM(D32:D37)</f>
        <v>1300</v>
      </c>
      <c r="E38" s="8">
        <f>SUM(E32:E37)</f>
        <v>1530</v>
      </c>
      <c r="F38" s="8">
        <f t="shared" ref="F38:R38" si="7">SUM(F32:F37)</f>
        <v>1889</v>
      </c>
      <c r="G38" s="8">
        <f t="shared" si="7"/>
        <v>1401</v>
      </c>
      <c r="H38" s="8">
        <f t="shared" si="7"/>
        <v>1436</v>
      </c>
      <c r="I38" s="8">
        <f t="shared" si="7"/>
        <v>1305</v>
      </c>
      <c r="J38" s="8">
        <f t="shared" si="7"/>
        <v>1445</v>
      </c>
      <c r="K38" s="8">
        <f t="shared" si="7"/>
        <v>1696</v>
      </c>
      <c r="L38" s="8">
        <f t="shared" si="7"/>
        <v>1757</v>
      </c>
      <c r="M38" s="8">
        <f t="shared" si="7"/>
        <v>1413</v>
      </c>
      <c r="N38" s="8">
        <f t="shared" si="7"/>
        <v>1281</v>
      </c>
      <c r="O38" s="8">
        <f t="shared" si="7"/>
        <v>1312</v>
      </c>
      <c r="P38" s="8">
        <f t="shared" si="7"/>
        <v>1383</v>
      </c>
      <c r="Q38" s="8">
        <f t="shared" si="7"/>
        <v>1435</v>
      </c>
      <c r="R38" s="120">
        <f t="shared" si="7"/>
        <v>1495</v>
      </c>
      <c r="S38" s="120">
        <f t="shared" ref="S38:AE38" si="8">SUM(S32:S37)</f>
        <v>1575</v>
      </c>
      <c r="T38" s="120">
        <f t="shared" si="8"/>
        <v>1646</v>
      </c>
      <c r="U38" s="120">
        <f t="shared" si="8"/>
        <v>2138</v>
      </c>
      <c r="V38" s="201">
        <f t="shared" si="8"/>
        <v>2311</v>
      </c>
      <c r="W38" s="201">
        <f t="shared" si="8"/>
        <v>2723</v>
      </c>
      <c r="X38" s="201">
        <f t="shared" si="8"/>
        <v>2697.1948571428575</v>
      </c>
      <c r="Y38" s="302">
        <f>SUM(Y32:Y37)</f>
        <v>2823</v>
      </c>
      <c r="Z38" s="201">
        <f t="shared" si="8"/>
        <v>2943.7162321428568</v>
      </c>
      <c r="AA38" s="201">
        <f>SUM(AA32:AA37)</f>
        <v>3081</v>
      </c>
      <c r="AB38" s="477">
        <f t="shared" si="8"/>
        <v>3216</v>
      </c>
      <c r="AC38" s="485">
        <f t="shared" si="8"/>
        <v>3299</v>
      </c>
      <c r="AD38" s="78">
        <f t="shared" si="8"/>
        <v>3427.9046448087429</v>
      </c>
      <c r="AE38" s="78">
        <f t="shared" si="8"/>
        <v>3564.1540016393437</v>
      </c>
      <c r="AF38" s="78">
        <f>SUM(AF32:AF37)</f>
        <v>3686.6029636939888</v>
      </c>
      <c r="AG38" s="243">
        <f>SUM(AG32:AG37)</f>
        <v>3813.2952248704369</v>
      </c>
      <c r="AH38" s="144"/>
      <c r="AI38" s="144"/>
      <c r="AJ38" s="144"/>
      <c r="AK38" s="144"/>
      <c r="AL38" s="144"/>
      <c r="AM38" s="144"/>
      <c r="AN38" s="144"/>
      <c r="AO38" s="144"/>
      <c r="AP38" s="144"/>
      <c r="AQ38" s="144"/>
      <c r="AR38" s="144"/>
      <c r="AS38" s="144"/>
      <c r="AT38" s="144"/>
      <c r="AU38" s="144"/>
      <c r="AV38" s="144"/>
      <c r="AW38" s="144"/>
      <c r="AX38" s="144"/>
      <c r="AY38" s="144"/>
      <c r="AZ38" s="144"/>
      <c r="BA38" s="144"/>
      <c r="BB38" s="144"/>
      <c r="BC38" s="144"/>
      <c r="BD38" s="144"/>
      <c r="BE38" s="144"/>
      <c r="BF38" s="144"/>
      <c r="BG38" s="144"/>
      <c r="BH38" s="144"/>
      <c r="BI38" s="144"/>
      <c r="BJ38" s="144"/>
      <c r="BK38" s="144"/>
      <c r="BL38" s="144"/>
      <c r="BM38" s="144"/>
      <c r="BN38" s="144"/>
      <c r="BO38" s="144"/>
      <c r="BP38" s="144"/>
      <c r="BQ38" s="144"/>
      <c r="BR38" s="144"/>
      <c r="BS38" s="144"/>
      <c r="BT38" s="144"/>
      <c r="BU38" s="144"/>
      <c r="BV38" s="144"/>
      <c r="BW38" s="144"/>
      <c r="BX38" s="144"/>
      <c r="BY38" s="144"/>
      <c r="BZ38" s="144"/>
      <c r="CA38" s="144"/>
      <c r="CB38" s="144"/>
      <c r="CC38" s="144"/>
      <c r="CD38" s="144"/>
      <c r="CE38" s="144"/>
    </row>
    <row r="39" spans="1:83" s="3" customFormat="1" x14ac:dyDescent="0.2">
      <c r="R39" s="122"/>
      <c r="S39" s="122"/>
      <c r="T39" s="122"/>
      <c r="U39" s="122"/>
      <c r="V39" s="204"/>
      <c r="W39" s="204"/>
      <c r="X39" s="204"/>
      <c r="Y39" s="204"/>
      <c r="Z39" s="204"/>
      <c r="AA39" s="204"/>
      <c r="AB39" s="478"/>
      <c r="AC39" s="542"/>
      <c r="AD39" s="238"/>
      <c r="AE39" s="238"/>
      <c r="AF39" s="238"/>
      <c r="AG39" s="305"/>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c r="BL39" s="128"/>
      <c r="BM39" s="128"/>
      <c r="BN39" s="128"/>
      <c r="BO39" s="128"/>
      <c r="BP39" s="128"/>
      <c r="BQ39" s="128"/>
      <c r="BR39" s="128"/>
      <c r="BS39" s="128"/>
      <c r="BT39" s="128"/>
      <c r="BU39" s="128"/>
      <c r="BV39" s="128"/>
      <c r="BW39" s="128"/>
      <c r="BX39" s="128"/>
      <c r="BY39" s="128"/>
      <c r="BZ39" s="128"/>
      <c r="CA39" s="128"/>
      <c r="CB39" s="128"/>
      <c r="CC39" s="128"/>
      <c r="CD39" s="128"/>
      <c r="CE39" s="128"/>
    </row>
    <row r="40" spans="1:83" s="3" customFormat="1" x14ac:dyDescent="0.2">
      <c r="A40" s="12" t="s">
        <v>25</v>
      </c>
      <c r="B40" s="9" t="s">
        <v>28</v>
      </c>
      <c r="C40" s="9"/>
      <c r="D40" s="10">
        <v>14</v>
      </c>
      <c r="E40" s="7">
        <v>14</v>
      </c>
      <c r="F40" s="7">
        <v>14</v>
      </c>
      <c r="G40" s="7">
        <v>14</v>
      </c>
      <c r="H40" s="7">
        <v>14</v>
      </c>
      <c r="I40" s="7">
        <v>14</v>
      </c>
      <c r="J40" s="7">
        <v>14</v>
      </c>
      <c r="K40" s="7">
        <v>13</v>
      </c>
      <c r="L40" s="7">
        <v>13</v>
      </c>
      <c r="M40" s="7">
        <v>14</v>
      </c>
      <c r="N40" s="7">
        <v>14</v>
      </c>
      <c r="O40" s="7">
        <v>13</v>
      </c>
      <c r="P40" s="48">
        <v>13</v>
      </c>
      <c r="Q40" s="48">
        <v>13</v>
      </c>
      <c r="R40" s="123">
        <v>13</v>
      </c>
      <c r="S40" s="123">
        <v>13</v>
      </c>
      <c r="T40" s="123">
        <v>13.6</v>
      </c>
      <c r="U40" s="123">
        <v>13.8</v>
      </c>
      <c r="V40" s="205">
        <v>14</v>
      </c>
      <c r="W40" s="220">
        <v>14</v>
      </c>
      <c r="X40" s="220">
        <v>13.9</v>
      </c>
      <c r="Y40" s="220">
        <v>14.1</v>
      </c>
      <c r="Z40" s="220">
        <v>14.6</v>
      </c>
      <c r="AA40" s="220">
        <v>14.5</v>
      </c>
      <c r="AB40" s="479">
        <v>14.4</v>
      </c>
      <c r="AC40" s="543">
        <v>15.3</v>
      </c>
      <c r="AD40" s="544">
        <f t="shared" ref="AD40:AG40" si="9">+AC40</f>
        <v>15.3</v>
      </c>
      <c r="AE40" s="544">
        <f t="shared" si="9"/>
        <v>15.3</v>
      </c>
      <c r="AF40" s="544">
        <f t="shared" si="9"/>
        <v>15.3</v>
      </c>
      <c r="AG40" s="545">
        <f t="shared" si="9"/>
        <v>15.3</v>
      </c>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8"/>
      <c r="BR40" s="128"/>
      <c r="BS40" s="128"/>
      <c r="BT40" s="128"/>
      <c r="BU40" s="128"/>
      <c r="BV40" s="128"/>
      <c r="BW40" s="128"/>
      <c r="BX40" s="128"/>
      <c r="BY40" s="128"/>
      <c r="BZ40" s="128"/>
      <c r="CA40" s="128"/>
      <c r="CB40" s="128"/>
      <c r="CC40" s="128"/>
      <c r="CD40" s="128"/>
      <c r="CE40" s="128"/>
    </row>
    <row r="41" spans="1:83" x14ac:dyDescent="0.2">
      <c r="V41" s="202"/>
      <c r="W41" s="202"/>
      <c r="X41" s="202"/>
      <c r="Y41" s="202"/>
      <c r="Z41" s="202"/>
      <c r="AA41" s="202"/>
      <c r="AB41" s="473"/>
      <c r="AC41" s="528"/>
      <c r="AD41" s="529"/>
      <c r="AE41" s="529"/>
      <c r="AF41" s="529"/>
      <c r="AG41" s="530"/>
    </row>
    <row r="42" spans="1:83" s="2" customFormat="1" x14ac:dyDescent="0.2">
      <c r="A42" s="2" t="s">
        <v>24</v>
      </c>
      <c r="D42" s="13" t="s">
        <v>193</v>
      </c>
      <c r="E42" s="13" t="s">
        <v>34</v>
      </c>
      <c r="F42" s="13" t="s">
        <v>35</v>
      </c>
      <c r="G42" s="13" t="s">
        <v>36</v>
      </c>
      <c r="H42" s="13" t="s">
        <v>37</v>
      </c>
      <c r="I42" s="13" t="s">
        <v>38</v>
      </c>
      <c r="J42" s="13" t="s">
        <v>39</v>
      </c>
      <c r="K42" s="13" t="s">
        <v>40</v>
      </c>
      <c r="L42" s="13" t="s">
        <v>41</v>
      </c>
      <c r="M42" s="13" t="s">
        <v>42</v>
      </c>
      <c r="N42" s="13" t="s">
        <v>43</v>
      </c>
      <c r="O42" s="13" t="s">
        <v>44</v>
      </c>
      <c r="P42" s="13" t="s">
        <v>45</v>
      </c>
      <c r="Q42" s="13" t="s">
        <v>168</v>
      </c>
      <c r="R42" s="124" t="s">
        <v>169</v>
      </c>
      <c r="S42" s="124" t="s">
        <v>170</v>
      </c>
      <c r="T42" s="124" t="s">
        <v>171</v>
      </c>
      <c r="U42" s="124" t="s">
        <v>172</v>
      </c>
      <c r="V42" s="206" t="s">
        <v>173</v>
      </c>
      <c r="W42" s="206" t="s">
        <v>174</v>
      </c>
      <c r="X42" s="206" t="s">
        <v>175</v>
      </c>
      <c r="Y42" s="206" t="s">
        <v>176</v>
      </c>
      <c r="Z42" s="206" t="s">
        <v>177</v>
      </c>
      <c r="AA42" s="206" t="s">
        <v>177</v>
      </c>
      <c r="AB42" s="480" t="s">
        <v>178</v>
      </c>
      <c r="AC42" s="486" t="s">
        <v>294</v>
      </c>
      <c r="AD42" s="546" t="s">
        <v>309</v>
      </c>
      <c r="AE42" s="546" t="s">
        <v>315</v>
      </c>
      <c r="AF42" s="546" t="s">
        <v>317</v>
      </c>
      <c r="AG42" s="547" t="s">
        <v>317</v>
      </c>
      <c r="AH42" s="173"/>
      <c r="AI42" s="173"/>
      <c r="AJ42" s="173"/>
      <c r="AK42" s="173"/>
      <c r="AL42" s="173"/>
      <c r="AM42" s="173"/>
      <c r="AN42" s="173"/>
      <c r="AO42" s="173"/>
      <c r="AP42" s="173"/>
      <c r="AQ42" s="173"/>
      <c r="AR42" s="173"/>
      <c r="AS42" s="173"/>
      <c r="AT42" s="173"/>
      <c r="AU42" s="173"/>
      <c r="AV42" s="173"/>
      <c r="AW42" s="173"/>
      <c r="AX42" s="173"/>
      <c r="AY42" s="173"/>
      <c r="AZ42" s="173"/>
      <c r="BA42" s="173"/>
      <c r="BB42" s="173"/>
      <c r="BC42" s="173"/>
      <c r="BD42" s="173"/>
      <c r="BE42" s="173"/>
      <c r="BF42" s="173"/>
      <c r="BG42" s="173"/>
      <c r="BH42" s="173"/>
      <c r="BI42" s="173"/>
      <c r="BJ42" s="173"/>
      <c r="BK42" s="173"/>
      <c r="BL42" s="173"/>
      <c r="BM42" s="173"/>
      <c r="BN42" s="173"/>
      <c r="BO42" s="173"/>
      <c r="BP42" s="173"/>
      <c r="BQ42" s="173"/>
      <c r="BR42" s="173"/>
      <c r="BS42" s="173"/>
      <c r="BT42" s="173"/>
      <c r="BU42" s="173"/>
      <c r="BV42" s="173"/>
      <c r="BW42" s="173"/>
      <c r="BX42" s="173"/>
      <c r="BY42" s="173"/>
      <c r="BZ42" s="173"/>
      <c r="CA42" s="173"/>
      <c r="CB42" s="173"/>
      <c r="CC42" s="173"/>
      <c r="CD42" s="173"/>
      <c r="CE42" s="173"/>
    </row>
    <row r="43" spans="1:83" s="3" customFormat="1" x14ac:dyDescent="0.2">
      <c r="A43" s="3" t="s">
        <v>19</v>
      </c>
      <c r="B43" s="3" t="s">
        <v>33</v>
      </c>
      <c r="D43" s="7">
        <v>409</v>
      </c>
      <c r="E43" s="7">
        <v>598</v>
      </c>
      <c r="F43" s="7">
        <v>605</v>
      </c>
      <c r="G43" s="7">
        <v>591</v>
      </c>
      <c r="H43" s="7">
        <v>566</v>
      </c>
      <c r="I43" s="7">
        <v>686</v>
      </c>
      <c r="J43" s="7">
        <v>926</v>
      </c>
      <c r="K43" s="7">
        <v>1132</v>
      </c>
      <c r="L43" s="7">
        <v>1109</v>
      </c>
      <c r="M43" s="7">
        <v>667</v>
      </c>
      <c r="N43" s="7">
        <v>635</v>
      </c>
      <c r="O43" s="7">
        <v>645.03436999999997</v>
      </c>
      <c r="P43" s="7">
        <v>676.24282600000004</v>
      </c>
      <c r="Q43" s="7">
        <v>682.943175</v>
      </c>
      <c r="R43" s="119">
        <v>708.14363400000002</v>
      </c>
      <c r="S43" s="119">
        <v>740.20953299999996</v>
      </c>
      <c r="T43" s="119">
        <v>795.11688900000001</v>
      </c>
      <c r="U43" s="119">
        <v>808.21466899999996</v>
      </c>
      <c r="V43" s="200">
        <v>1070</v>
      </c>
      <c r="W43" s="200">
        <v>1244.570158</v>
      </c>
      <c r="X43" s="200">
        <v>1316.2618660000001</v>
      </c>
      <c r="Y43" s="200">
        <f>1343.812957</f>
        <v>1343.8129570000001</v>
      </c>
      <c r="Z43" s="200">
        <v>1393.0569660000001</v>
      </c>
      <c r="AA43" s="200">
        <f>1460.755949-1</f>
        <v>1459.7559490000001</v>
      </c>
      <c r="AB43" s="474">
        <f>1525.800671-AB44</f>
        <v>1524.800671</v>
      </c>
      <c r="AC43" s="484">
        <f>1598.2380873-AC44</f>
        <v>1597.2380873</v>
      </c>
      <c r="AD43" s="536">
        <v>1664.1763250155739</v>
      </c>
      <c r="AE43" s="536">
        <v>1732.632443033782</v>
      </c>
      <c r="AF43" s="536">
        <v>1794.1547928826822</v>
      </c>
      <c r="AG43" s="537">
        <v>1857.8091145237856</v>
      </c>
      <c r="AH43" s="128"/>
      <c r="AI43" s="128"/>
      <c r="AJ43" s="128"/>
      <c r="AK43" s="128"/>
      <c r="AL43" s="128"/>
      <c r="AM43" s="128"/>
      <c r="AN43" s="128"/>
      <c r="AO43" s="128"/>
      <c r="AP43" s="128"/>
      <c r="AQ43" s="128"/>
      <c r="AR43" s="128"/>
      <c r="AS43" s="128"/>
      <c r="AT43" s="128"/>
      <c r="AU43" s="128"/>
      <c r="AV43" s="128"/>
      <c r="AW43" s="128"/>
      <c r="AX43" s="128"/>
      <c r="AY43" s="128"/>
      <c r="AZ43" s="128"/>
      <c r="BA43" s="128"/>
      <c r="BB43" s="128"/>
      <c r="BC43" s="128"/>
      <c r="BD43" s="128"/>
      <c r="BE43" s="128"/>
      <c r="BF43" s="128"/>
      <c r="BG43" s="128"/>
      <c r="BH43" s="128"/>
      <c r="BI43" s="128"/>
      <c r="BJ43" s="128"/>
      <c r="BK43" s="128"/>
      <c r="BL43" s="128"/>
      <c r="BM43" s="128"/>
      <c r="BN43" s="128"/>
      <c r="BO43" s="128"/>
      <c r="BP43" s="128"/>
      <c r="BQ43" s="128"/>
      <c r="BR43" s="128"/>
      <c r="BS43" s="128"/>
      <c r="BT43" s="128"/>
      <c r="BU43" s="128"/>
      <c r="BV43" s="128"/>
      <c r="BW43" s="128"/>
      <c r="BX43" s="128"/>
      <c r="BY43" s="128"/>
      <c r="BZ43" s="128"/>
      <c r="CA43" s="128"/>
      <c r="CB43" s="128"/>
      <c r="CC43" s="128"/>
      <c r="CD43" s="128"/>
      <c r="CE43" s="128"/>
    </row>
    <row r="44" spans="1:83" s="122" customFormat="1" x14ac:dyDescent="0.2">
      <c r="A44" s="147" t="s">
        <v>408</v>
      </c>
      <c r="B44" s="122" t="s">
        <v>33</v>
      </c>
      <c r="D44" s="119"/>
      <c r="E44" s="119"/>
      <c r="F44" s="119"/>
      <c r="G44" s="119"/>
      <c r="H44" s="119"/>
      <c r="I44" s="119"/>
      <c r="J44" s="119"/>
      <c r="K44" s="119"/>
      <c r="L44" s="119"/>
      <c r="M44" s="119"/>
      <c r="N44" s="119"/>
      <c r="O44" s="119"/>
      <c r="P44" s="119"/>
      <c r="Q44" s="119"/>
      <c r="R44" s="119"/>
      <c r="S44" s="119"/>
      <c r="T44" s="119"/>
      <c r="U44" s="119"/>
      <c r="V44" s="200"/>
      <c r="W44" s="200"/>
      <c r="X44" s="200"/>
      <c r="Y44" s="200"/>
      <c r="Z44" s="200"/>
      <c r="AA44" s="200">
        <f>AA36</f>
        <v>1</v>
      </c>
      <c r="AB44" s="474">
        <v>1</v>
      </c>
      <c r="AC44" s="484">
        <v>1</v>
      </c>
      <c r="AD44" s="536"/>
      <c r="AE44" s="536"/>
      <c r="AF44" s="536"/>
      <c r="AG44" s="537"/>
      <c r="AH44" s="128"/>
      <c r="AI44" s="128"/>
      <c r="AJ44" s="128"/>
      <c r="AK44" s="128"/>
      <c r="AL44" s="128"/>
      <c r="AM44" s="128"/>
      <c r="AN44" s="128"/>
      <c r="AO44" s="128"/>
      <c r="AP44" s="128"/>
      <c r="AQ44" s="128"/>
      <c r="AR44" s="128"/>
      <c r="AS44" s="128"/>
      <c r="AT44" s="128"/>
      <c r="AU44" s="128"/>
      <c r="AV44" s="128"/>
      <c r="AW44" s="128"/>
      <c r="AX44" s="128"/>
      <c r="AY44" s="128"/>
      <c r="AZ44" s="128"/>
      <c r="BA44" s="128"/>
      <c r="BB44" s="128"/>
      <c r="BC44" s="128"/>
      <c r="BD44" s="128"/>
      <c r="BE44" s="128"/>
      <c r="BF44" s="128"/>
      <c r="BG44" s="128"/>
      <c r="BH44" s="128"/>
      <c r="BI44" s="128"/>
      <c r="BJ44" s="128"/>
      <c r="BK44" s="128"/>
      <c r="BL44" s="128"/>
      <c r="BM44" s="128"/>
      <c r="BN44" s="128"/>
      <c r="BO44" s="128"/>
      <c r="BP44" s="128"/>
      <c r="BQ44" s="128"/>
      <c r="BR44" s="128"/>
      <c r="BS44" s="128"/>
      <c r="BT44" s="128"/>
      <c r="BU44" s="128"/>
      <c r="BV44" s="128"/>
      <c r="BW44" s="128"/>
      <c r="BX44" s="128"/>
      <c r="BY44" s="128"/>
      <c r="BZ44" s="128"/>
      <c r="CA44" s="128"/>
      <c r="CB44" s="128"/>
      <c r="CC44" s="128"/>
      <c r="CD44" s="128"/>
      <c r="CE44" s="128"/>
    </row>
    <row r="45" spans="1:83" s="3" customFormat="1" x14ac:dyDescent="0.2">
      <c r="A45" s="3" t="s">
        <v>20</v>
      </c>
      <c r="B45" s="3" t="s">
        <v>33</v>
      </c>
      <c r="D45" s="7">
        <v>246</v>
      </c>
      <c r="E45" s="7">
        <v>274</v>
      </c>
      <c r="F45" s="7">
        <v>328</v>
      </c>
      <c r="G45" s="7">
        <v>-150</v>
      </c>
      <c r="H45" s="7">
        <v>0</v>
      </c>
      <c r="I45" s="7">
        <v>0</v>
      </c>
      <c r="J45" s="7">
        <v>0</v>
      </c>
      <c r="K45" s="7">
        <v>0</v>
      </c>
      <c r="L45" s="7">
        <v>0</v>
      </c>
      <c r="M45" s="7">
        <v>0</v>
      </c>
      <c r="N45" s="7">
        <v>0</v>
      </c>
      <c r="O45" s="7">
        <v>0</v>
      </c>
      <c r="P45" s="7">
        <v>0</v>
      </c>
      <c r="Q45" s="7">
        <v>0</v>
      </c>
      <c r="R45" s="119">
        <v>0</v>
      </c>
      <c r="S45" s="119">
        <v>0</v>
      </c>
      <c r="T45" s="119">
        <v>0</v>
      </c>
      <c r="U45" s="119">
        <v>0</v>
      </c>
      <c r="V45" s="200">
        <v>0</v>
      </c>
      <c r="W45" s="200">
        <v>0</v>
      </c>
      <c r="X45" s="200">
        <v>0</v>
      </c>
      <c r="Y45" s="200">
        <v>0</v>
      </c>
      <c r="Z45" s="200">
        <v>0</v>
      </c>
      <c r="AA45" s="200">
        <v>0</v>
      </c>
      <c r="AB45" s="475">
        <v>0</v>
      </c>
      <c r="AC45" s="539">
        <v>0</v>
      </c>
      <c r="AD45" s="540">
        <v>0</v>
      </c>
      <c r="AE45" s="540">
        <v>0</v>
      </c>
      <c r="AF45" s="540">
        <v>0</v>
      </c>
      <c r="AG45" s="541">
        <v>0</v>
      </c>
      <c r="AH45" s="128"/>
      <c r="AI45" s="128"/>
      <c r="AJ45" s="128"/>
      <c r="AK45" s="128"/>
      <c r="AL45" s="128"/>
      <c r="AM45" s="128"/>
      <c r="AN45" s="128"/>
      <c r="AO45" s="128"/>
      <c r="AP45" s="128"/>
      <c r="AQ45" s="128"/>
      <c r="AR45" s="128"/>
      <c r="AS45" s="128"/>
      <c r="AT45" s="128"/>
      <c r="AU45" s="128"/>
      <c r="AV45" s="128"/>
      <c r="AW45" s="128"/>
      <c r="AX45" s="128"/>
      <c r="AY45" s="128"/>
      <c r="AZ45" s="128"/>
      <c r="BA45" s="128"/>
      <c r="BB45" s="128"/>
      <c r="BC45" s="128"/>
      <c r="BD45" s="128"/>
      <c r="BE45" s="128"/>
      <c r="BF45" s="128"/>
      <c r="BG45" s="128"/>
      <c r="BH45" s="128"/>
      <c r="BI45" s="128"/>
      <c r="BJ45" s="128"/>
      <c r="BK45" s="128"/>
      <c r="BL45" s="128"/>
      <c r="BM45" s="128"/>
      <c r="BN45" s="128"/>
      <c r="BO45" s="128"/>
      <c r="BP45" s="128"/>
      <c r="BQ45" s="128"/>
      <c r="BR45" s="128"/>
      <c r="BS45" s="128"/>
      <c r="BT45" s="128"/>
      <c r="BU45" s="128"/>
      <c r="BV45" s="128"/>
      <c r="BW45" s="128"/>
      <c r="BX45" s="128"/>
      <c r="BY45" s="128"/>
      <c r="BZ45" s="128"/>
      <c r="CA45" s="128"/>
      <c r="CB45" s="128"/>
      <c r="CC45" s="128"/>
      <c r="CD45" s="128"/>
      <c r="CE45" s="128"/>
    </row>
    <row r="46" spans="1:83" s="14" customFormat="1" x14ac:dyDescent="0.2">
      <c r="A46" s="8" t="s">
        <v>21</v>
      </c>
      <c r="B46" s="14" t="s">
        <v>31</v>
      </c>
      <c r="D46" s="15">
        <f>D43+D45</f>
        <v>655</v>
      </c>
      <c r="E46" s="15">
        <f>E43+E45</f>
        <v>872</v>
      </c>
      <c r="F46" s="15">
        <f t="shared" ref="F46:R46" si="10">F43+F45</f>
        <v>933</v>
      </c>
      <c r="G46" s="15">
        <f t="shared" si="10"/>
        <v>441</v>
      </c>
      <c r="H46" s="15">
        <f t="shared" si="10"/>
        <v>566</v>
      </c>
      <c r="I46" s="15">
        <f t="shared" si="10"/>
        <v>686</v>
      </c>
      <c r="J46" s="15">
        <f t="shared" si="10"/>
        <v>926</v>
      </c>
      <c r="K46" s="15">
        <f t="shared" si="10"/>
        <v>1132</v>
      </c>
      <c r="L46" s="15">
        <f t="shared" si="10"/>
        <v>1109</v>
      </c>
      <c r="M46" s="15">
        <f t="shared" si="10"/>
        <v>667</v>
      </c>
      <c r="N46" s="15">
        <f t="shared" si="10"/>
        <v>635</v>
      </c>
      <c r="O46" s="15">
        <f t="shared" si="10"/>
        <v>645.03436999999997</v>
      </c>
      <c r="P46" s="15">
        <f t="shared" si="10"/>
        <v>676.24282600000004</v>
      </c>
      <c r="Q46" s="15">
        <f t="shared" si="10"/>
        <v>682.943175</v>
      </c>
      <c r="R46" s="125">
        <f t="shared" si="10"/>
        <v>708.14363400000002</v>
      </c>
      <c r="S46" s="125">
        <f t="shared" ref="S46:AE46" si="11">S43+S45</f>
        <v>740.20953299999996</v>
      </c>
      <c r="T46" s="125">
        <f t="shared" si="11"/>
        <v>795.11688900000001</v>
      </c>
      <c r="U46" s="125">
        <f t="shared" si="11"/>
        <v>808.21466899999996</v>
      </c>
      <c r="V46" s="207">
        <f t="shared" si="11"/>
        <v>1070</v>
      </c>
      <c r="W46" s="207">
        <f t="shared" si="11"/>
        <v>1244.570158</v>
      </c>
      <c r="X46" s="207">
        <f t="shared" si="11"/>
        <v>1316.2618660000001</v>
      </c>
      <c r="Y46" s="303">
        <f>Y43+Y44+Y45</f>
        <v>1343.8129570000001</v>
      </c>
      <c r="Z46" s="207">
        <f t="shared" si="11"/>
        <v>1393.0569660000001</v>
      </c>
      <c r="AA46" s="207">
        <f>AA43+AA45+AA44</f>
        <v>1460.7559490000001</v>
      </c>
      <c r="AB46" s="207">
        <f>AB43+AB45+AB44</f>
        <v>1525.800671</v>
      </c>
      <c r="AC46" s="548">
        <f>AC43+AC45+AC44</f>
        <v>1598.2380873</v>
      </c>
      <c r="AD46" s="80">
        <f t="shared" si="11"/>
        <v>1664.1763250155739</v>
      </c>
      <c r="AE46" s="80">
        <f t="shared" si="11"/>
        <v>1732.632443033782</v>
      </c>
      <c r="AF46" s="80">
        <f>AF43+AF45</f>
        <v>1794.1547928826822</v>
      </c>
      <c r="AG46" s="274">
        <f>AG43+AG45</f>
        <v>1857.8091145237856</v>
      </c>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c r="BM46" s="175"/>
      <c r="BN46" s="175"/>
      <c r="BO46" s="175"/>
      <c r="BP46" s="175"/>
      <c r="BQ46" s="175"/>
      <c r="BR46" s="175"/>
      <c r="BS46" s="175"/>
      <c r="BT46" s="175"/>
      <c r="BU46" s="175"/>
      <c r="BV46" s="175"/>
      <c r="BW46" s="175"/>
      <c r="BX46" s="175"/>
      <c r="BY46" s="175"/>
      <c r="BZ46" s="175"/>
      <c r="CA46" s="175"/>
      <c r="CB46" s="175"/>
      <c r="CC46" s="175"/>
      <c r="CD46" s="175"/>
      <c r="CE46" s="175"/>
    </row>
    <row r="47" spans="1:83" x14ac:dyDescent="0.2">
      <c r="AC47" s="467"/>
      <c r="AD47" s="192"/>
      <c r="AE47" s="192"/>
      <c r="AF47" s="192"/>
      <c r="AG47" s="258"/>
    </row>
    <row r="48" spans="1:83" ht="84" customHeight="1" x14ac:dyDescent="0.2">
      <c r="A48" s="574" t="s">
        <v>409</v>
      </c>
      <c r="B48" s="575"/>
      <c r="C48" s="323"/>
      <c r="D48" s="323"/>
      <c r="E48" s="323"/>
      <c r="F48" s="323"/>
      <c r="G48" s="323"/>
      <c r="H48" s="323"/>
      <c r="I48" s="323"/>
      <c r="J48" s="323"/>
      <c r="K48" s="323"/>
      <c r="L48" s="323"/>
      <c r="M48" s="323"/>
      <c r="N48" s="323"/>
      <c r="O48" s="323"/>
      <c r="P48" s="323"/>
      <c r="Q48" s="323"/>
      <c r="R48" s="323"/>
      <c r="S48" s="323"/>
      <c r="T48" s="323"/>
      <c r="U48" s="323"/>
      <c r="V48" s="323"/>
      <c r="W48" s="323"/>
      <c r="X48" s="323"/>
      <c r="Y48" s="323"/>
      <c r="Z48" s="323"/>
    </row>
    <row r="49" spans="29:29" x14ac:dyDescent="0.2">
      <c r="AC49" s="493"/>
    </row>
  </sheetData>
  <mergeCells count="1">
    <mergeCell ref="A48:B48"/>
  </mergeCells>
  <phoneticPr fontId="0" type="noConversion"/>
  <pageMargins left="0.5" right="0.5" top="0.75" bottom="0.75" header="0.5" footer="0.5"/>
  <pageSetup paperSize="5" scale="56" orientation="landscape" r:id="rId1"/>
  <headerFooter alignWithMargins="0">
    <oddFooter>&amp;L&amp;"Arial,Bold"&amp;F&amp;C&amp;A&amp;R&amp;D  &amp;T</oddFooter>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Z39"/>
  <sheetViews>
    <sheetView workbookViewId="0">
      <pane xSplit="1" ySplit="4" topLeftCell="B5" activePane="bottomRight" state="frozen"/>
      <selection activeCell="D43" sqref="D43"/>
      <selection pane="topRight" activeCell="D43" sqref="D43"/>
      <selection pane="bottomLeft" activeCell="D43" sqref="D43"/>
      <selection pane="bottomRight" activeCell="J20" sqref="J20"/>
    </sheetView>
  </sheetViews>
  <sheetFormatPr baseColWidth="10" defaultColWidth="9.140625" defaultRowHeight="12.75" x14ac:dyDescent="0.2"/>
  <cols>
    <col min="1" max="1" width="15.85546875" style="448" customWidth="1"/>
    <col min="2" max="2" width="11.140625" style="426" customWidth="1"/>
    <col min="3" max="5" width="9.140625" style="426"/>
    <col min="6" max="16" width="9.140625" style="425"/>
    <col min="17" max="17" width="9.140625" style="424"/>
    <col min="18" max="16384" width="9.140625" style="425"/>
  </cols>
  <sheetData>
    <row r="1" spans="1:25" x14ac:dyDescent="0.2">
      <c r="A1" s="421" t="s">
        <v>424</v>
      </c>
      <c r="R1" s="424"/>
      <c r="S1" s="422"/>
      <c r="T1" s="557"/>
    </row>
    <row r="2" spans="1:25" x14ac:dyDescent="0.2">
      <c r="R2" s="424"/>
      <c r="S2" s="422"/>
      <c r="T2" s="557"/>
    </row>
    <row r="3" spans="1:25" s="436" customFormat="1" x14ac:dyDescent="0.2">
      <c r="A3" s="444" t="s">
        <v>425</v>
      </c>
      <c r="B3" s="440" t="s">
        <v>426</v>
      </c>
      <c r="C3" s="440"/>
      <c r="D3" s="440"/>
      <c r="E3" s="440"/>
      <c r="Q3" s="432"/>
      <c r="R3" s="432"/>
      <c r="S3" s="428"/>
      <c r="T3" s="558"/>
    </row>
    <row r="4" spans="1:25" s="444" customFormat="1" x14ac:dyDescent="0.2">
      <c r="A4" s="450" t="s">
        <v>427</v>
      </c>
      <c r="B4" s="447" t="s">
        <v>428</v>
      </c>
      <c r="C4" s="443">
        <v>1998</v>
      </c>
      <c r="D4" s="443">
        <v>1999</v>
      </c>
      <c r="E4" s="443">
        <v>2000</v>
      </c>
      <c r="F4" s="450">
        <v>2001</v>
      </c>
      <c r="G4" s="450">
        <v>2002</v>
      </c>
      <c r="H4" s="450">
        <v>2003</v>
      </c>
      <c r="I4" s="450">
        <v>2004</v>
      </c>
      <c r="J4" s="450">
        <v>2005</v>
      </c>
      <c r="K4" s="450">
        <v>2006</v>
      </c>
      <c r="L4" s="450">
        <v>2007</v>
      </c>
      <c r="M4" s="450">
        <v>2008</v>
      </c>
      <c r="N4" s="450">
        <v>2009</v>
      </c>
      <c r="O4" s="450">
        <v>2010</v>
      </c>
      <c r="P4" s="450">
        <v>2011</v>
      </c>
      <c r="Q4" s="439">
        <v>2012</v>
      </c>
      <c r="R4" s="439">
        <v>2013</v>
      </c>
      <c r="S4" s="435">
        <v>2014</v>
      </c>
      <c r="T4" s="559">
        <v>2015</v>
      </c>
      <c r="U4" s="431">
        <v>2016</v>
      </c>
      <c r="V4" s="450">
        <v>2017</v>
      </c>
      <c r="W4" s="450">
        <v>2018</v>
      </c>
      <c r="X4" s="450">
        <v>2019</v>
      </c>
      <c r="Y4" s="450" t="s">
        <v>414</v>
      </c>
    </row>
    <row r="5" spans="1:25" x14ac:dyDescent="0.2">
      <c r="R5" s="424"/>
      <c r="S5" s="422"/>
      <c r="T5" s="557"/>
    </row>
    <row r="6" spans="1:25" x14ac:dyDescent="0.2">
      <c r="A6" s="448">
        <v>1998</v>
      </c>
      <c r="B6" s="426">
        <v>1290</v>
      </c>
      <c r="C6" s="426">
        <f>ROUND($B6/5,0)</f>
        <v>258</v>
      </c>
      <c r="D6" s="426">
        <f>ROUND($B6/5,0)</f>
        <v>258</v>
      </c>
      <c r="E6" s="426">
        <f>ROUND($B6/5,0)</f>
        <v>258</v>
      </c>
      <c r="F6" s="426">
        <f>ROUND($B6/5,0)</f>
        <v>258</v>
      </c>
      <c r="G6" s="426">
        <f>ROUND($B6/5,0)</f>
        <v>258</v>
      </c>
      <c r="R6" s="424"/>
      <c r="S6" s="422"/>
      <c r="T6" s="557"/>
      <c r="Y6" s="425">
        <f t="shared" ref="Y6:Y14" si="0">SUM(C6:R6)</f>
        <v>1290</v>
      </c>
    </row>
    <row r="7" spans="1:25" x14ac:dyDescent="0.2">
      <c r="A7" s="448">
        <v>1999</v>
      </c>
      <c r="B7" s="426">
        <v>6710</v>
      </c>
      <c r="D7" s="426">
        <f>ROUND($B7/5,0)</f>
        <v>1342</v>
      </c>
      <c r="E7" s="426">
        <f>ROUND($B7/5,0)</f>
        <v>1342</v>
      </c>
      <c r="F7" s="426">
        <f>ROUND($B7/5,0)</f>
        <v>1342</v>
      </c>
      <c r="G7" s="426">
        <f>ROUND($B7/5,0)</f>
        <v>1342</v>
      </c>
      <c r="H7" s="426">
        <f>ROUND($B7/5,0)</f>
        <v>1342</v>
      </c>
      <c r="R7" s="424"/>
      <c r="S7" s="422"/>
      <c r="T7" s="557"/>
      <c r="Y7" s="425">
        <f t="shared" si="0"/>
        <v>6710</v>
      </c>
    </row>
    <row r="8" spans="1:25" x14ac:dyDescent="0.2">
      <c r="A8" s="448">
        <v>2000</v>
      </c>
      <c r="B8" s="426">
        <f>-1117</f>
        <v>-1117</v>
      </c>
      <c r="E8" s="426">
        <f>ROUND($B8/5,0)</f>
        <v>-223</v>
      </c>
      <c r="F8" s="426">
        <f>ROUND($B8/5,0)</f>
        <v>-223</v>
      </c>
      <c r="G8" s="426">
        <f>ROUND($B8/5,0)</f>
        <v>-223</v>
      </c>
      <c r="H8" s="426">
        <f>ROUND($B8/5,0)-1</f>
        <v>-224</v>
      </c>
      <c r="I8" s="426">
        <f>ROUND($B8/5,0)-1</f>
        <v>-224</v>
      </c>
      <c r="R8" s="424"/>
      <c r="S8" s="422"/>
      <c r="T8" s="557"/>
      <c r="Y8" s="425">
        <f t="shared" si="0"/>
        <v>-1117</v>
      </c>
    </row>
    <row r="9" spans="1:25" x14ac:dyDescent="0.2">
      <c r="A9" s="448">
        <v>2001</v>
      </c>
      <c r="B9" s="426">
        <v>-6555</v>
      </c>
      <c r="F9" s="426">
        <f>ROUND($B9/5,0)</f>
        <v>-1311</v>
      </c>
      <c r="G9" s="426">
        <f>ROUND($B9/5,0)</f>
        <v>-1311</v>
      </c>
      <c r="H9" s="426">
        <f>ROUND($B9/5,0)</f>
        <v>-1311</v>
      </c>
      <c r="I9" s="426">
        <f>ROUND($B9/5,0)</f>
        <v>-1311</v>
      </c>
      <c r="J9" s="426">
        <f>ROUND($B9/5,0)</f>
        <v>-1311</v>
      </c>
      <c r="R9" s="424"/>
      <c r="S9" s="422"/>
      <c r="T9" s="557"/>
      <c r="Y9" s="425">
        <f t="shared" si="0"/>
        <v>-6555</v>
      </c>
    </row>
    <row r="10" spans="1:25" x14ac:dyDescent="0.2">
      <c r="A10" s="448">
        <v>2002</v>
      </c>
      <c r="B10" s="426">
        <v>-8256</v>
      </c>
      <c r="G10" s="426">
        <f>ROUND($B10/5,0)</f>
        <v>-1651</v>
      </c>
      <c r="H10" s="426">
        <f>ROUND($B10/5,0)</f>
        <v>-1651</v>
      </c>
      <c r="I10" s="426">
        <f>ROUND($B10/5,0)</f>
        <v>-1651</v>
      </c>
      <c r="J10" s="426">
        <f>ROUND($B10/5,0)</f>
        <v>-1651</v>
      </c>
      <c r="K10" s="426">
        <f>ROUND($B10/5,0)-1</f>
        <v>-1652</v>
      </c>
      <c r="R10" s="424"/>
      <c r="S10" s="422"/>
      <c r="T10" s="557"/>
      <c r="Y10" s="425">
        <f t="shared" si="0"/>
        <v>-8256</v>
      </c>
    </row>
    <row r="11" spans="1:25" x14ac:dyDescent="0.2">
      <c r="A11" s="448">
        <v>2003</v>
      </c>
      <c r="B11" s="426">
        <v>5400</v>
      </c>
      <c r="H11" s="426">
        <f>ROUND($B11/5,0)</f>
        <v>1080</v>
      </c>
      <c r="I11" s="426">
        <f>ROUND($B11/5,0)</f>
        <v>1080</v>
      </c>
      <c r="J11" s="426">
        <f>ROUND($B11/5,0)</f>
        <v>1080</v>
      </c>
      <c r="K11" s="426">
        <f>ROUND($B11/5,0)</f>
        <v>1080</v>
      </c>
      <c r="L11" s="426">
        <f>ROUND($B11/5,0)</f>
        <v>1080</v>
      </c>
      <c r="R11" s="424"/>
      <c r="S11" s="422"/>
      <c r="T11" s="557"/>
      <c r="Y11" s="425">
        <f t="shared" si="0"/>
        <v>5400</v>
      </c>
    </row>
    <row r="12" spans="1:25" x14ac:dyDescent="0.2">
      <c r="A12" s="448">
        <v>2004</v>
      </c>
      <c r="B12" s="426">
        <f>727*5+1</f>
        <v>3636</v>
      </c>
      <c r="I12" s="426">
        <f>ROUND($B12/5,0)</f>
        <v>727</v>
      </c>
      <c r="J12" s="426">
        <f>ROUND($B12/5,0)</f>
        <v>727</v>
      </c>
      <c r="K12" s="426">
        <f>ROUND($B12/5,0)+1</f>
        <v>728</v>
      </c>
      <c r="L12" s="426">
        <f t="shared" ref="L12:M15" si="1">ROUND($B12/5,0)</f>
        <v>727</v>
      </c>
      <c r="M12" s="426">
        <f t="shared" si="1"/>
        <v>727</v>
      </c>
      <c r="N12" s="426"/>
      <c r="O12" s="426"/>
      <c r="P12" s="426"/>
      <c r="Q12" s="446"/>
      <c r="R12" s="424"/>
      <c r="S12" s="422"/>
      <c r="T12" s="557"/>
      <c r="Y12" s="425">
        <f t="shared" si="0"/>
        <v>3636</v>
      </c>
    </row>
    <row r="13" spans="1:25" x14ac:dyDescent="0.2">
      <c r="A13" s="448">
        <v>2005</v>
      </c>
      <c r="B13" s="426">
        <v>5929</v>
      </c>
      <c r="J13" s="426">
        <f>ROUND($B13/5,0)-1</f>
        <v>1185</v>
      </c>
      <c r="K13" s="426">
        <f>ROUND($B13/5,0)</f>
        <v>1186</v>
      </c>
      <c r="L13" s="426">
        <f t="shared" si="1"/>
        <v>1186</v>
      </c>
      <c r="M13" s="426">
        <f t="shared" si="1"/>
        <v>1186</v>
      </c>
      <c r="N13" s="426">
        <f>ROUND($B13/5,0)</f>
        <v>1186</v>
      </c>
      <c r="O13" s="426"/>
      <c r="P13" s="426"/>
      <c r="Q13" s="446"/>
      <c r="R13" s="424"/>
      <c r="S13" s="422"/>
      <c r="T13" s="557"/>
      <c r="Y13" s="425">
        <f t="shared" si="0"/>
        <v>5929</v>
      </c>
    </row>
    <row r="14" spans="1:25" x14ac:dyDescent="0.2">
      <c r="A14" s="448">
        <v>2006</v>
      </c>
      <c r="B14" s="426">
        <f>5072+1268</f>
        <v>6340</v>
      </c>
      <c r="K14" s="426">
        <f>ROUND($B14/5,0)</f>
        <v>1268</v>
      </c>
      <c r="L14" s="426">
        <f t="shared" si="1"/>
        <v>1268</v>
      </c>
      <c r="M14" s="426">
        <f t="shared" si="1"/>
        <v>1268</v>
      </c>
      <c r="N14" s="426">
        <f>ROUND($B14/5,0)</f>
        <v>1268</v>
      </c>
      <c r="O14" s="426">
        <f>ROUND($B14/5,0)</f>
        <v>1268</v>
      </c>
      <c r="P14" s="442"/>
      <c r="Q14" s="446"/>
      <c r="R14" s="424"/>
      <c r="S14" s="422"/>
      <c r="T14" s="557"/>
      <c r="Y14" s="425">
        <f t="shared" si="0"/>
        <v>6340</v>
      </c>
    </row>
    <row r="15" spans="1:25" x14ac:dyDescent="0.2">
      <c r="A15" s="448">
        <v>2007</v>
      </c>
      <c r="B15" s="426">
        <f>-3274-818</f>
        <v>-4092</v>
      </c>
      <c r="L15" s="426">
        <f t="shared" si="1"/>
        <v>-818</v>
      </c>
      <c r="M15" s="426">
        <f t="shared" si="1"/>
        <v>-818</v>
      </c>
      <c r="N15" s="426">
        <f>ROUND($B15/5,0)</f>
        <v>-818</v>
      </c>
      <c r="O15" s="426">
        <f>ROUND($B15/5,0)-1</f>
        <v>-819</v>
      </c>
      <c r="P15" s="442">
        <f>ROUND($B15/5,0)-1</f>
        <v>-819</v>
      </c>
      <c r="Q15" s="446"/>
      <c r="R15" s="424"/>
      <c r="S15" s="422"/>
      <c r="T15" s="557"/>
      <c r="Y15" s="425">
        <f>SUM(C15:R15)</f>
        <v>-4092</v>
      </c>
    </row>
    <row r="16" spans="1:25" s="424" customFormat="1" x14ac:dyDescent="0.2">
      <c r="A16" s="438">
        <v>2008</v>
      </c>
      <c r="B16" s="434">
        <f>-20790-5198</f>
        <v>-25988</v>
      </c>
      <c r="C16" s="446"/>
      <c r="D16" s="446"/>
      <c r="E16" s="446"/>
      <c r="L16" s="446"/>
      <c r="M16" s="446">
        <f>ROUND($B16/5,0)</f>
        <v>-5198</v>
      </c>
      <c r="N16" s="446">
        <f>ROUND($B16/5,0)</f>
        <v>-5198</v>
      </c>
      <c r="O16" s="446">
        <f>ROUND($B16/5,0)</f>
        <v>-5198</v>
      </c>
      <c r="P16" s="434">
        <f>ROUND($B16/5,0)</f>
        <v>-5198</v>
      </c>
      <c r="Q16" s="446">
        <f>ROUND($B16/5,0)+1</f>
        <v>-5197</v>
      </c>
      <c r="S16" s="422"/>
      <c r="T16" s="557"/>
      <c r="Y16" s="424">
        <f>SUM(C16:R16)</f>
        <v>-25989</v>
      </c>
    </row>
    <row r="17" spans="1:26" s="424" customFormat="1" x14ac:dyDescent="0.2">
      <c r="A17" s="438">
        <v>2009</v>
      </c>
      <c r="B17" s="446">
        <f>3258+815</f>
        <v>4073</v>
      </c>
      <c r="C17" s="446"/>
      <c r="D17" s="446"/>
      <c r="E17" s="446"/>
      <c r="N17" s="424">
        <v>815</v>
      </c>
      <c r="O17" s="424">
        <v>815</v>
      </c>
      <c r="P17" s="430">
        <v>815</v>
      </c>
      <c r="Q17" s="424">
        <v>814</v>
      </c>
      <c r="R17" s="424">
        <v>814</v>
      </c>
      <c r="S17" s="422"/>
      <c r="T17" s="557"/>
      <c r="Y17" s="424">
        <f>SUM(C17:R17)</f>
        <v>4073</v>
      </c>
    </row>
    <row r="18" spans="1:26" x14ac:dyDescent="0.2">
      <c r="A18" s="438">
        <v>2010</v>
      </c>
      <c r="B18" s="446">
        <f>2115+529</f>
        <v>2644</v>
      </c>
      <c r="C18" s="446"/>
      <c r="D18" s="446"/>
      <c r="E18" s="446"/>
      <c r="F18" s="424"/>
      <c r="G18" s="424"/>
      <c r="H18" s="424"/>
      <c r="I18" s="424"/>
      <c r="J18" s="424"/>
      <c r="K18" s="424"/>
      <c r="L18" s="424"/>
      <c r="M18" s="424"/>
      <c r="N18" s="424"/>
      <c r="O18" s="424">
        <f>ROUND($B$18/5,0)</f>
        <v>529</v>
      </c>
      <c r="P18" s="430">
        <f>ROUND($B$18/5,0)</f>
        <v>529</v>
      </c>
      <c r="Q18" s="424">
        <f>ROUND($B$18/5,0)</f>
        <v>529</v>
      </c>
      <c r="R18" s="424">
        <f>ROUND($B$18/5,0)</f>
        <v>529</v>
      </c>
      <c r="S18" s="422">
        <f>ROUND($B$18/5,0)-1</f>
        <v>528</v>
      </c>
      <c r="T18" s="557"/>
      <c r="U18" s="424"/>
      <c r="V18" s="424"/>
      <c r="W18" s="424"/>
      <c r="X18" s="424"/>
      <c r="Y18" s="424">
        <f>SUM(O18:S18)</f>
        <v>2644</v>
      </c>
    </row>
    <row r="19" spans="1:26" s="424" customFormat="1" x14ac:dyDescent="0.2">
      <c r="A19" s="438">
        <v>2011</v>
      </c>
      <c r="B19" s="446">
        <f>-'[1]Comparison of smoothing 2011'!K27</f>
        <v>4247</v>
      </c>
      <c r="C19" s="446"/>
      <c r="D19" s="446"/>
      <c r="E19" s="446"/>
      <c r="P19" s="424">
        <f>ROUND($B$19/5,0)+1</f>
        <v>850</v>
      </c>
      <c r="Q19" s="424">
        <f>ROUND($B$19/5,0)+1</f>
        <v>850</v>
      </c>
      <c r="R19" s="424">
        <f>ROUND($B$19/5,0)</f>
        <v>849</v>
      </c>
      <c r="S19" s="422">
        <f>ROUND($B$19/5,0)</f>
        <v>849</v>
      </c>
      <c r="T19" s="557">
        <f>ROUND($B$19/5,0)</f>
        <v>849</v>
      </c>
      <c r="Y19" s="424">
        <f>SUM(P19:T19)</f>
        <v>4247</v>
      </c>
    </row>
    <row r="20" spans="1:26" s="424" customFormat="1" x14ac:dyDescent="0.2">
      <c r="A20" s="438">
        <v>2012</v>
      </c>
      <c r="B20" s="446">
        <f>-'[1]Gain avai. for smoothing 2012'!K20</f>
        <v>6555</v>
      </c>
      <c r="C20" s="446"/>
      <c r="D20" s="446"/>
      <c r="E20" s="446"/>
      <c r="Q20" s="424">
        <f>ROUND($B$20/5,0)</f>
        <v>1311</v>
      </c>
      <c r="R20" s="424">
        <f>ROUND($B$20/5,0)</f>
        <v>1311</v>
      </c>
      <c r="S20" s="422">
        <f>ROUND($B$20/5,0)</f>
        <v>1311</v>
      </c>
      <c r="T20" s="557">
        <f>ROUND($B$20/5,0)-1</f>
        <v>1310</v>
      </c>
      <c r="U20" s="424">
        <f>ROUND($B$20/5,0)-1</f>
        <v>1310</v>
      </c>
      <c r="Y20" s="424">
        <f>SUM(P20:U20)</f>
        <v>6553</v>
      </c>
    </row>
    <row r="21" spans="1:26" s="424" customFormat="1" x14ac:dyDescent="0.2">
      <c r="A21" s="438">
        <v>2013</v>
      </c>
      <c r="B21" s="446">
        <f>-'[1]Gain avai. for smoothing 2013'!K20</f>
        <v>4673</v>
      </c>
      <c r="C21" s="446"/>
      <c r="D21" s="446"/>
      <c r="E21" s="446"/>
      <c r="R21" s="424">
        <f>ROUND($B$21/5,0)+1</f>
        <v>936</v>
      </c>
      <c r="S21" s="422">
        <f>ROUND($B$21/5,0)</f>
        <v>935</v>
      </c>
      <c r="T21" s="557">
        <f t="shared" ref="T21:V21" si="2">ROUND($B$21/5,0)</f>
        <v>935</v>
      </c>
      <c r="U21" s="424">
        <f t="shared" si="2"/>
        <v>935</v>
      </c>
      <c r="V21" s="424">
        <f t="shared" si="2"/>
        <v>935</v>
      </c>
      <c r="Y21" s="424">
        <f>SUM(P21:V21)</f>
        <v>4676</v>
      </c>
    </row>
    <row r="22" spans="1:26" x14ac:dyDescent="0.2">
      <c r="A22" s="449">
        <v>2014</v>
      </c>
      <c r="B22" s="445">
        <f>-'[1]Gain avai. for smoothing 2014'!K20</f>
        <v>6408</v>
      </c>
      <c r="C22" s="441"/>
      <c r="D22" s="441"/>
      <c r="E22" s="441"/>
      <c r="F22" s="422"/>
      <c r="G22" s="422"/>
      <c r="H22" s="422"/>
      <c r="I22" s="422"/>
      <c r="J22" s="422"/>
      <c r="K22" s="422"/>
      <c r="L22" s="422"/>
      <c r="M22" s="422"/>
      <c r="N22" s="422"/>
      <c r="O22" s="422"/>
      <c r="P22" s="422"/>
      <c r="Q22" s="422"/>
      <c r="R22" s="422"/>
      <c r="S22" s="437">
        <f>ROUND($B$22/5,0)</f>
        <v>1282</v>
      </c>
      <c r="T22" s="560">
        <f>ROUND($B$22/5,0)</f>
        <v>1282</v>
      </c>
      <c r="U22" s="437">
        <f>ROUND($B$22/5,0)</f>
        <v>1282</v>
      </c>
      <c r="V22" s="433">
        <f>ROUND($B$22/5,0)-1</f>
        <v>1281</v>
      </c>
      <c r="W22" s="433">
        <f>ROUND($B$22/5,0)-1</f>
        <v>1281</v>
      </c>
      <c r="X22" s="433"/>
      <c r="Y22" s="422">
        <f>SUM(C22:W22)</f>
        <v>6408</v>
      </c>
    </row>
    <row r="23" spans="1:26" x14ac:dyDescent="0.2">
      <c r="A23" s="561">
        <v>2015</v>
      </c>
      <c r="B23" s="562">
        <f>-'Gain avai. for smoothing 2015'!K20</f>
        <v>9272</v>
      </c>
      <c r="C23" s="562"/>
      <c r="D23" s="562"/>
      <c r="E23" s="562"/>
      <c r="F23" s="557"/>
      <c r="G23" s="557"/>
      <c r="H23" s="557"/>
      <c r="I23" s="557"/>
      <c r="J23" s="557"/>
      <c r="K23" s="557"/>
      <c r="L23" s="557"/>
      <c r="M23" s="557"/>
      <c r="N23" s="557"/>
      <c r="O23" s="557"/>
      <c r="P23" s="557"/>
      <c r="Q23" s="557"/>
      <c r="R23" s="557"/>
      <c r="S23" s="560"/>
      <c r="T23" s="560">
        <f>ROUND($B$23/5,0)</f>
        <v>1854</v>
      </c>
      <c r="U23" s="560">
        <f t="shared" ref="U23:V23" si="3">ROUND($B$23/5,0)</f>
        <v>1854</v>
      </c>
      <c r="V23" s="560">
        <f t="shared" si="3"/>
        <v>1854</v>
      </c>
      <c r="W23" s="563">
        <f>ROUND($B$23/5,0)+1</f>
        <v>1855</v>
      </c>
      <c r="X23" s="563">
        <f>ROUND($B$23/5,0)+1</f>
        <v>1855</v>
      </c>
      <c r="Y23" s="557">
        <f>SUM(T23:X23)</f>
        <v>9272</v>
      </c>
      <c r="Z23" s="425">
        <f>B23-Y23</f>
        <v>0</v>
      </c>
    </row>
    <row r="24" spans="1:26" x14ac:dyDescent="0.2">
      <c r="R24" s="424"/>
      <c r="S24" s="422"/>
      <c r="T24" s="557"/>
    </row>
    <row r="25" spans="1:26" x14ac:dyDescent="0.2">
      <c r="A25" s="448" t="s">
        <v>429</v>
      </c>
      <c r="E25" s="425"/>
      <c r="F25" s="425">
        <f>SUM(G6:J9)</f>
        <v>-2973</v>
      </c>
      <c r="G25" s="425">
        <f>SUM(H7:K10)</f>
        <v>-9644</v>
      </c>
      <c r="H25" s="425">
        <f>SUM(I8:L11)</f>
        <v>-3480</v>
      </c>
      <c r="I25" s="425">
        <f>SUM(J9:M12)</f>
        <v>1535</v>
      </c>
      <c r="J25" s="425">
        <f>SUM(K10:N13)</f>
        <v>7434</v>
      </c>
      <c r="K25" s="425">
        <f>SUM(L11:O14)</f>
        <v>11164</v>
      </c>
      <c r="L25" s="425">
        <f>SUM(M12:P15)</f>
        <v>3629</v>
      </c>
      <c r="M25" s="424">
        <f>SUM(N13:Q16)</f>
        <v>-19525</v>
      </c>
      <c r="N25" s="424">
        <f>SUM(O14:R17)</f>
        <v>-12705</v>
      </c>
      <c r="O25" s="424">
        <f>SUM(P15:S18)</f>
        <v>-6656</v>
      </c>
      <c r="P25" s="425">
        <f>SUM(Q15:T19)</f>
        <v>1414</v>
      </c>
      <c r="Q25" s="424">
        <f>SUM(R17:U20)</f>
        <v>9660</v>
      </c>
      <c r="R25" s="424">
        <f>SUM(S18:V21)</f>
        <v>9897</v>
      </c>
      <c r="S25" s="422">
        <f>SUM(T19:W22)</f>
        <v>11400</v>
      </c>
      <c r="T25" s="557">
        <f>SUM(U20:X23)</f>
        <v>14442</v>
      </c>
      <c r="U25" s="425">
        <f>SUM(V21:X23)</f>
        <v>9061</v>
      </c>
      <c r="V25" s="425">
        <f>SUM(W22:X23)</f>
        <v>4991</v>
      </c>
      <c r="W25" s="425">
        <f>SUM(X23)</f>
        <v>1855</v>
      </c>
    </row>
    <row r="26" spans="1:26" x14ac:dyDescent="0.2">
      <c r="R26" s="424"/>
      <c r="S26" s="422"/>
      <c r="T26" s="557"/>
    </row>
    <row r="27" spans="1:26" x14ac:dyDescent="0.2">
      <c r="A27" s="448" t="s">
        <v>430</v>
      </c>
      <c r="G27" s="425">
        <f t="shared" ref="G27:S27" si="4">SUM(G6:G24)</f>
        <v>-1585</v>
      </c>
      <c r="H27" s="425">
        <f t="shared" si="4"/>
        <v>-764</v>
      </c>
      <c r="I27" s="425">
        <f t="shared" si="4"/>
        <v>-1379</v>
      </c>
      <c r="J27" s="425">
        <f t="shared" si="4"/>
        <v>30</v>
      </c>
      <c r="K27" s="425">
        <f t="shared" si="4"/>
        <v>2610</v>
      </c>
      <c r="L27" s="425">
        <f t="shared" si="4"/>
        <v>3443</v>
      </c>
      <c r="M27" s="425">
        <f t="shared" si="4"/>
        <v>-2835</v>
      </c>
      <c r="N27" s="425">
        <f t="shared" si="4"/>
        <v>-2747</v>
      </c>
      <c r="O27" s="425">
        <f t="shared" si="4"/>
        <v>-3405</v>
      </c>
      <c r="P27" s="425">
        <f t="shared" si="4"/>
        <v>-3823</v>
      </c>
      <c r="Q27" s="424">
        <f t="shared" si="4"/>
        <v>-1693</v>
      </c>
      <c r="R27" s="424">
        <f t="shared" si="4"/>
        <v>4439</v>
      </c>
      <c r="S27" s="422">
        <f t="shared" si="4"/>
        <v>4905</v>
      </c>
      <c r="T27" s="557">
        <f>SUM(T6:T24)</f>
        <v>6230</v>
      </c>
      <c r="U27" s="425">
        <f>SUM(U6:U24)</f>
        <v>5381</v>
      </c>
      <c r="V27" s="425">
        <f>SUM(V6:V24)</f>
        <v>4070</v>
      </c>
      <c r="W27" s="425">
        <f>SUM(W6:W24)</f>
        <v>3136</v>
      </c>
      <c r="X27" s="425">
        <f>SUM(X6:X24)</f>
        <v>1855</v>
      </c>
    </row>
    <row r="30" spans="1:26" x14ac:dyDescent="0.2">
      <c r="A30" s="426" t="s">
        <v>431</v>
      </c>
      <c r="D30" s="426">
        <f>SUM(B8:B10)</f>
        <v>-15928</v>
      </c>
    </row>
    <row r="31" spans="1:26" x14ac:dyDescent="0.2">
      <c r="A31" s="448" t="s">
        <v>432</v>
      </c>
      <c r="D31" s="426">
        <f>SUM(B11:B14)</f>
        <v>21305</v>
      </c>
    </row>
    <row r="32" spans="1:26" x14ac:dyDescent="0.2">
      <c r="A32" s="426" t="s">
        <v>433</v>
      </c>
      <c r="D32" s="446">
        <f>SUM(B15:B16)</f>
        <v>-30080</v>
      </c>
    </row>
    <row r="33" spans="1:5" x14ac:dyDescent="0.2">
      <c r="A33" s="448" t="s">
        <v>434</v>
      </c>
      <c r="D33" s="446">
        <f>+B17</f>
        <v>4073</v>
      </c>
    </row>
    <row r="34" spans="1:5" x14ac:dyDescent="0.2">
      <c r="A34" s="448" t="s">
        <v>435</v>
      </c>
      <c r="D34" s="446">
        <f>+B18</f>
        <v>2644</v>
      </c>
    </row>
    <row r="35" spans="1:5" x14ac:dyDescent="0.2">
      <c r="A35" s="448" t="s">
        <v>436</v>
      </c>
      <c r="D35" s="446">
        <f>B19</f>
        <v>4247</v>
      </c>
    </row>
    <row r="36" spans="1:5" x14ac:dyDescent="0.2">
      <c r="A36" s="448" t="s">
        <v>437</v>
      </c>
      <c r="D36" s="446">
        <f>B20</f>
        <v>6555</v>
      </c>
    </row>
    <row r="37" spans="1:5" x14ac:dyDescent="0.2">
      <c r="A37" s="448" t="s">
        <v>438</v>
      </c>
      <c r="D37" s="426">
        <f>B21</f>
        <v>4673</v>
      </c>
    </row>
    <row r="38" spans="1:5" x14ac:dyDescent="0.2">
      <c r="A38" s="429" t="s">
        <v>439</v>
      </c>
      <c r="D38" s="426">
        <f>B22</f>
        <v>6408</v>
      </c>
    </row>
    <row r="39" spans="1:5" x14ac:dyDescent="0.2">
      <c r="A39" s="429" t="s">
        <v>450</v>
      </c>
      <c r="D39" s="426">
        <f>B23</f>
        <v>9272</v>
      </c>
      <c r="E39" s="564">
        <f>SUM(D33:D39)</f>
        <v>37872</v>
      </c>
    </row>
  </sheetData>
  <pageMargins left="0.75" right="0.75" top="1" bottom="1" header="0.5" footer="0.5"/>
  <pageSetup paperSize="5" scale="65" orientation="landscape" r:id="rId1"/>
  <headerFooter alignWithMargins="0">
    <oddFooter>&amp;L&amp;F&amp;C&amp;A&amp;R&amp;D  &amp;T</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O30"/>
  <sheetViews>
    <sheetView workbookViewId="0">
      <selection activeCell="M30" sqref="M30"/>
    </sheetView>
  </sheetViews>
  <sheetFormatPr baseColWidth="10" defaultColWidth="9.140625" defaultRowHeight="15" x14ac:dyDescent="0.25"/>
  <cols>
    <col min="1" max="1" width="1" style="451" customWidth="1"/>
    <col min="2" max="2" width="12.28515625" style="451" customWidth="1"/>
    <col min="3" max="3" width="10.5703125" style="451" customWidth="1"/>
    <col min="4" max="4" width="8.140625" style="451" customWidth="1"/>
    <col min="5" max="5" width="9.7109375" style="451" customWidth="1"/>
    <col min="6" max="6" width="8.5703125" style="451" customWidth="1"/>
    <col min="7" max="7" width="12.42578125" style="451" customWidth="1"/>
    <col min="8" max="8" width="9.5703125" style="451" bestFit="1" customWidth="1"/>
    <col min="9" max="9" width="8.42578125" style="451" customWidth="1"/>
    <col min="10" max="10" width="9.5703125" style="451" bestFit="1" customWidth="1"/>
    <col min="11" max="11" width="11" style="451" customWidth="1"/>
    <col min="12" max="12" width="7.7109375" style="451" customWidth="1"/>
    <col min="13" max="13" width="2.5703125" style="451" customWidth="1"/>
    <col min="14" max="14" width="12.140625" style="451" customWidth="1"/>
    <col min="15" max="15" width="2.7109375" style="451" customWidth="1"/>
    <col min="16" max="16384" width="9.140625" style="451"/>
  </cols>
  <sheetData>
    <row r="1" spans="1:15" x14ac:dyDescent="0.25">
      <c r="C1" s="452" t="s">
        <v>451</v>
      </c>
    </row>
    <row r="3" spans="1:15" x14ac:dyDescent="0.25">
      <c r="A3" s="453"/>
      <c r="B3" s="454"/>
      <c r="C3" s="455"/>
      <c r="D3" s="455"/>
      <c r="E3" s="455"/>
      <c r="F3" s="455"/>
      <c r="G3" s="455"/>
      <c r="H3" s="455"/>
      <c r="I3" s="455"/>
      <c r="J3" s="455"/>
      <c r="K3" s="455"/>
      <c r="L3" s="455"/>
      <c r="M3" s="455"/>
      <c r="N3" s="455"/>
    </row>
    <row r="4" spans="1:15" x14ac:dyDescent="0.25">
      <c r="A4" s="453"/>
      <c r="B4" s="451" t="s">
        <v>452</v>
      </c>
    </row>
    <row r="6" spans="1:15" x14ac:dyDescent="0.25">
      <c r="B6" s="451" t="s">
        <v>440</v>
      </c>
      <c r="H6" s="456"/>
      <c r="I6" s="456"/>
      <c r="J6" s="456"/>
      <c r="K6" s="457">
        <v>154476</v>
      </c>
    </row>
    <row r="7" spans="1:15" x14ac:dyDescent="0.25">
      <c r="B7" s="458" t="s">
        <v>453</v>
      </c>
      <c r="H7" s="456"/>
      <c r="I7" s="456"/>
      <c r="J7" s="456"/>
      <c r="K7" s="457">
        <f>'[1]Assumptions and Trends'!S47</f>
        <v>3299</v>
      </c>
    </row>
    <row r="8" spans="1:15" x14ac:dyDescent="0.25">
      <c r="B8" s="458" t="s">
        <v>454</v>
      </c>
      <c r="C8" s="459"/>
      <c r="D8" s="459"/>
      <c r="E8" s="459"/>
      <c r="F8" s="459"/>
      <c r="G8" s="459"/>
      <c r="H8" s="456"/>
      <c r="I8" s="457"/>
      <c r="J8" s="457"/>
      <c r="K8" s="457">
        <f>-'[1]Assumptions and Trends'!S28</f>
        <v>-5537</v>
      </c>
      <c r="L8" s="459"/>
      <c r="M8" s="459"/>
      <c r="N8" s="459"/>
      <c r="O8" s="459"/>
    </row>
    <row r="9" spans="1:15" x14ac:dyDescent="0.25">
      <c r="B9" s="458" t="s">
        <v>441</v>
      </c>
      <c r="C9" s="459"/>
      <c r="D9" s="459"/>
      <c r="E9" s="459"/>
      <c r="F9" s="459"/>
      <c r="G9" s="459"/>
      <c r="H9" s="456"/>
      <c r="I9" s="457"/>
      <c r="J9" s="457"/>
      <c r="K9" s="457">
        <v>-38</v>
      </c>
      <c r="L9" s="459"/>
      <c r="M9" s="459"/>
      <c r="N9" s="459"/>
      <c r="O9" s="459"/>
    </row>
    <row r="10" spans="1:15" x14ac:dyDescent="0.25">
      <c r="B10" s="458" t="s">
        <v>442</v>
      </c>
      <c r="C10" s="459"/>
      <c r="D10" s="459"/>
      <c r="E10" s="459"/>
      <c r="F10" s="459"/>
      <c r="G10" s="459"/>
      <c r="H10" s="457"/>
      <c r="I10" s="457"/>
      <c r="J10" s="457"/>
      <c r="K10" s="457"/>
      <c r="L10" s="457"/>
      <c r="M10" s="459"/>
      <c r="N10" s="459"/>
      <c r="O10" s="459"/>
    </row>
    <row r="11" spans="1:15" x14ac:dyDescent="0.25">
      <c r="B11" s="460"/>
      <c r="C11" s="459" t="s">
        <v>455</v>
      </c>
      <c r="D11" s="459"/>
      <c r="E11" s="459"/>
      <c r="F11" s="459"/>
      <c r="G11" s="459"/>
      <c r="H11" s="457">
        <f>K6</f>
        <v>154476</v>
      </c>
      <c r="I11" s="457"/>
      <c r="J11" s="457"/>
      <c r="K11" s="457"/>
      <c r="L11" s="457"/>
      <c r="M11" s="459"/>
      <c r="N11" s="459"/>
      <c r="O11" s="459"/>
    </row>
    <row r="12" spans="1:15" x14ac:dyDescent="0.25">
      <c r="B12" s="460"/>
      <c r="C12" s="459" t="s">
        <v>456</v>
      </c>
      <c r="D12" s="459"/>
      <c r="E12" s="459"/>
      <c r="F12" s="459"/>
      <c r="G12" s="459"/>
      <c r="H12" s="565">
        <f>K7/2</f>
        <v>1649.5</v>
      </c>
      <c r="I12" s="457"/>
      <c r="J12" s="457"/>
      <c r="K12" s="457"/>
      <c r="L12" s="457"/>
      <c r="M12" s="459"/>
      <c r="N12" s="459"/>
      <c r="O12" s="459"/>
    </row>
    <row r="13" spans="1:15" x14ac:dyDescent="0.25">
      <c r="B13" s="460"/>
      <c r="C13" s="459" t="s">
        <v>457</v>
      </c>
      <c r="D13" s="459"/>
      <c r="E13" s="459"/>
      <c r="F13" s="459"/>
      <c r="G13" s="459"/>
      <c r="H13" s="461">
        <f>K8/2</f>
        <v>-2768.5</v>
      </c>
      <c r="I13" s="457"/>
      <c r="J13" s="457"/>
      <c r="K13" s="457"/>
      <c r="L13" s="457"/>
      <c r="M13" s="459"/>
      <c r="N13" s="459"/>
      <c r="O13" s="459"/>
    </row>
    <row r="14" spans="1:15" x14ac:dyDescent="0.25">
      <c r="B14" s="460"/>
      <c r="C14" s="459"/>
      <c r="D14" s="459"/>
      <c r="E14" s="459"/>
      <c r="F14" s="459"/>
      <c r="G14" s="459"/>
      <c r="H14" s="457">
        <f>SUM(H11:H13)</f>
        <v>153357</v>
      </c>
      <c r="I14" s="457"/>
      <c r="J14" s="457"/>
      <c r="K14" s="457"/>
      <c r="L14" s="457"/>
      <c r="M14" s="459"/>
      <c r="N14" s="459"/>
      <c r="O14" s="459"/>
    </row>
    <row r="15" spans="1:15" x14ac:dyDescent="0.25">
      <c r="B15" s="460"/>
      <c r="C15" s="459" t="s">
        <v>458</v>
      </c>
      <c r="D15" s="459"/>
      <c r="E15" s="459"/>
      <c r="F15" s="459"/>
      <c r="G15" s="459"/>
      <c r="H15" s="462">
        <v>6.5000000000000002E-2</v>
      </c>
      <c r="I15" s="457"/>
      <c r="J15" s="457"/>
      <c r="K15" s="457"/>
      <c r="L15" s="457"/>
      <c r="M15" s="459"/>
      <c r="N15" s="459"/>
      <c r="O15" s="459"/>
    </row>
    <row r="16" spans="1:15" x14ac:dyDescent="0.25">
      <c r="B16" s="460"/>
      <c r="C16" s="459"/>
      <c r="D16" s="459"/>
      <c r="E16" s="459"/>
      <c r="F16" s="459"/>
      <c r="G16" s="459"/>
      <c r="H16" s="457">
        <f>ROUND(H14*H15,0)</f>
        <v>9968</v>
      </c>
      <c r="I16" s="457"/>
      <c r="J16" s="457"/>
      <c r="K16" s="461">
        <f>H16</f>
        <v>9968</v>
      </c>
      <c r="L16" s="457"/>
      <c r="M16" s="459"/>
      <c r="N16" s="459"/>
      <c r="O16" s="459"/>
    </row>
    <row r="17" spans="2:15" x14ac:dyDescent="0.25">
      <c r="B17" s="460"/>
      <c r="C17" s="459"/>
      <c r="D17" s="459"/>
      <c r="E17" s="459"/>
      <c r="F17" s="459"/>
      <c r="G17" s="459"/>
      <c r="H17" s="457"/>
      <c r="I17" s="457"/>
      <c r="J17" s="457"/>
      <c r="K17" s="457"/>
      <c r="L17" s="457"/>
      <c r="M17" s="459"/>
      <c r="N17" s="459"/>
      <c r="O17" s="459"/>
    </row>
    <row r="18" spans="2:15" x14ac:dyDescent="0.25">
      <c r="B18" s="458" t="s">
        <v>443</v>
      </c>
      <c r="C18" s="459"/>
      <c r="D18" s="459"/>
      <c r="E18" s="459"/>
      <c r="F18" s="459"/>
      <c r="G18" s="459"/>
      <c r="H18" s="457"/>
      <c r="I18" s="457"/>
      <c r="J18" s="457"/>
      <c r="K18" s="457">
        <f>SUM(K6:K16)</f>
        <v>162168</v>
      </c>
      <c r="L18" s="457"/>
      <c r="M18" s="459"/>
      <c r="N18" s="459"/>
      <c r="O18" s="459"/>
    </row>
    <row r="19" spans="2:15" x14ac:dyDescent="0.25">
      <c r="B19" s="451" t="s">
        <v>455</v>
      </c>
      <c r="C19" s="459"/>
      <c r="D19" s="459"/>
      <c r="E19" s="459"/>
      <c r="F19" s="459"/>
      <c r="G19" s="459"/>
      <c r="H19" s="457"/>
      <c r="I19" s="457"/>
      <c r="J19" s="457"/>
      <c r="K19" s="566">
        <v>171440</v>
      </c>
      <c r="L19" s="457"/>
      <c r="M19" s="459"/>
      <c r="N19" s="459"/>
      <c r="O19" s="459"/>
    </row>
    <row r="20" spans="2:15" x14ac:dyDescent="0.25">
      <c r="B20" s="451" t="s">
        <v>444</v>
      </c>
      <c r="C20" s="459"/>
      <c r="D20" s="459"/>
      <c r="E20" s="459"/>
      <c r="F20" s="459"/>
      <c r="G20" s="459"/>
      <c r="H20" s="457"/>
      <c r="I20" s="457"/>
      <c r="J20" s="457"/>
      <c r="K20" s="457">
        <f>K18-K19</f>
        <v>-9272</v>
      </c>
      <c r="L20" s="457"/>
      <c r="M20" s="459"/>
      <c r="N20" s="463"/>
      <c r="O20" s="459"/>
    </row>
    <row r="21" spans="2:15" x14ac:dyDescent="0.25">
      <c r="H21" s="456"/>
      <c r="I21" s="456"/>
      <c r="J21" s="456"/>
      <c r="K21" s="456"/>
      <c r="L21" s="456"/>
    </row>
    <row r="22" spans="2:15" x14ac:dyDescent="0.25">
      <c r="B22" s="580" t="s">
        <v>459</v>
      </c>
      <c r="C22" s="581"/>
      <c r="D22" s="581"/>
      <c r="E22" s="581"/>
      <c r="F22" s="581"/>
      <c r="G22" s="581"/>
      <c r="H22" s="581"/>
      <c r="I22" s="581"/>
      <c r="J22" s="581"/>
      <c r="K22" s="581"/>
      <c r="L22" s="581"/>
    </row>
    <row r="23" spans="2:15" x14ac:dyDescent="0.25">
      <c r="B23" s="581"/>
      <c r="C23" s="581"/>
      <c r="D23" s="581"/>
      <c r="E23" s="581"/>
      <c r="F23" s="581"/>
      <c r="G23" s="581"/>
      <c r="H23" s="581"/>
      <c r="I23" s="581"/>
      <c r="J23" s="581"/>
      <c r="K23" s="581"/>
      <c r="L23" s="581"/>
    </row>
    <row r="24" spans="2:15" x14ac:dyDescent="0.25">
      <c r="B24" s="581"/>
      <c r="C24" s="581"/>
      <c r="D24" s="581"/>
      <c r="E24" s="581"/>
      <c r="F24" s="581"/>
      <c r="G24" s="581"/>
      <c r="H24" s="581"/>
      <c r="I24" s="581"/>
      <c r="J24" s="581"/>
      <c r="K24" s="581"/>
      <c r="L24" s="581"/>
    </row>
    <row r="25" spans="2:15" x14ac:dyDescent="0.25">
      <c r="B25" s="581"/>
      <c r="C25" s="581"/>
      <c r="D25" s="581"/>
      <c r="E25" s="581"/>
      <c r="F25" s="581"/>
      <c r="G25" s="581"/>
      <c r="H25" s="581"/>
      <c r="I25" s="581"/>
      <c r="J25" s="581"/>
      <c r="K25" s="581"/>
      <c r="L25" s="581"/>
    </row>
    <row r="30" spans="2:15" x14ac:dyDescent="0.25">
      <c r="J30" s="567"/>
    </row>
  </sheetData>
  <mergeCells count="1">
    <mergeCell ref="B22:L25"/>
  </mergeCells>
  <pageMargins left="0.7" right="0.7" top="0.75" bottom="0.75" header="0.3" footer="0.3"/>
  <pageSetup orientation="landscape" horizontalDpi="300" verticalDpi="300" r:id="rId1"/>
  <headerFooter alignWithMargins="0">
    <oddFooter>&amp;F</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38"/>
  <sheetViews>
    <sheetView workbookViewId="0">
      <pane xSplit="1" ySplit="3" topLeftCell="P4" activePane="bottomRight" state="frozen"/>
      <selection activeCell="AF39" sqref="AF39"/>
      <selection pane="topRight" activeCell="AF39" sqref="AF39"/>
      <selection pane="bottomLeft" activeCell="AF39" sqref="AF39"/>
      <selection pane="bottomRight" activeCell="W23" sqref="W23"/>
    </sheetView>
  </sheetViews>
  <sheetFormatPr baseColWidth="10" defaultColWidth="9.140625" defaultRowHeight="12.75" outlineLevelCol="1" x14ac:dyDescent="0.2"/>
  <cols>
    <col min="1" max="1" width="51.140625" customWidth="1"/>
    <col min="2" max="2" width="20.28515625" customWidth="1"/>
    <col min="3" max="9" width="10.42578125" hidden="1" customWidth="1" outlineLevel="1"/>
    <col min="10" max="10" width="10.28515625" hidden="1" customWidth="1" outlineLevel="1"/>
    <col min="11" max="11" width="9.140625" hidden="1" customWidth="1" outlineLevel="1"/>
    <col min="12" max="15" width="9.140625" style="116" hidden="1" customWidth="1" outlineLevel="1"/>
    <col min="16" max="16" width="9.140625" style="116" collapsed="1"/>
    <col min="17" max="21" width="9.140625" style="116"/>
    <col min="22" max="22" width="9.140625" style="116" customWidth="1"/>
    <col min="23" max="23" width="9.140625" style="471" customWidth="1"/>
    <col min="24" max="26" width="9.140625" style="311" customWidth="1" outlineLevel="1"/>
    <col min="27" max="27" width="9.140625" style="330" customWidth="1" outlineLevel="1"/>
    <col min="28" max="28" width="5.28515625" customWidth="1"/>
    <col min="29" max="30" width="9.140625" customWidth="1"/>
  </cols>
  <sheetData>
    <row r="1" spans="1:29" ht="15.75" x14ac:dyDescent="0.25">
      <c r="A1" s="18" t="s">
        <v>256</v>
      </c>
      <c r="B1" s="2"/>
      <c r="V1" s="487"/>
      <c r="W1" s="481"/>
      <c r="X1" s="390"/>
      <c r="Y1" s="390"/>
      <c r="Z1" s="390"/>
      <c r="AA1" s="391"/>
    </row>
    <row r="2" spans="1:29" x14ac:dyDescent="0.2">
      <c r="A2" s="315" t="s">
        <v>406</v>
      </c>
      <c r="U2" s="346" t="s">
        <v>178</v>
      </c>
      <c r="V2" s="346" t="s">
        <v>294</v>
      </c>
      <c r="W2" s="468" t="s">
        <v>309</v>
      </c>
      <c r="X2" s="329" t="s">
        <v>315</v>
      </c>
      <c r="Y2" s="329" t="s">
        <v>316</v>
      </c>
      <c r="Z2" s="329" t="s">
        <v>317</v>
      </c>
      <c r="AA2" s="331" t="s">
        <v>318</v>
      </c>
    </row>
    <row r="3" spans="1:29" s="2" customFormat="1" ht="13.5" thickBot="1" x14ac:dyDescent="0.25">
      <c r="A3" s="19" t="s">
        <v>1</v>
      </c>
      <c r="B3" s="20" t="s">
        <v>26</v>
      </c>
      <c r="C3" s="20">
        <v>1995</v>
      </c>
      <c r="D3" s="20">
        <v>1996</v>
      </c>
      <c r="E3" s="20">
        <v>1997</v>
      </c>
      <c r="F3" s="20">
        <v>1998</v>
      </c>
      <c r="G3" s="20">
        <v>1999</v>
      </c>
      <c r="H3" s="20">
        <v>2000</v>
      </c>
      <c r="I3" s="20">
        <v>2001</v>
      </c>
      <c r="J3" s="20">
        <v>2002</v>
      </c>
      <c r="K3" s="20">
        <v>2003</v>
      </c>
      <c r="L3" s="117">
        <v>2004</v>
      </c>
      <c r="M3" s="117">
        <v>2005</v>
      </c>
      <c r="N3" s="117">
        <v>2006</v>
      </c>
      <c r="O3" s="117">
        <v>2007</v>
      </c>
      <c r="P3" s="117">
        <v>2008</v>
      </c>
      <c r="Q3" s="117">
        <v>2009</v>
      </c>
      <c r="R3" s="117">
        <v>2010</v>
      </c>
      <c r="S3" s="117">
        <v>2011</v>
      </c>
      <c r="T3" s="117">
        <v>2012</v>
      </c>
      <c r="U3" s="117">
        <v>2013</v>
      </c>
      <c r="V3" s="117">
        <v>2014</v>
      </c>
      <c r="W3" s="482">
        <v>2015</v>
      </c>
      <c r="X3" s="314">
        <v>2016</v>
      </c>
      <c r="Y3" s="314">
        <v>2017</v>
      </c>
      <c r="Z3" s="314">
        <v>2018</v>
      </c>
      <c r="AA3" s="332">
        <v>2019</v>
      </c>
    </row>
    <row r="5" spans="1:29" x14ac:dyDescent="0.2">
      <c r="A5" s="2" t="s">
        <v>0</v>
      </c>
      <c r="B5" s="2"/>
      <c r="S5" s="196"/>
      <c r="T5" s="196"/>
      <c r="U5" s="196"/>
      <c r="V5" s="310"/>
      <c r="W5" s="483"/>
      <c r="X5" s="325"/>
      <c r="Y5" s="325"/>
      <c r="Z5" s="325"/>
      <c r="AA5" s="333"/>
    </row>
    <row r="6" spans="1:29" s="1" customFormat="1" x14ac:dyDescent="0.2">
      <c r="A6" s="1" t="s">
        <v>292</v>
      </c>
      <c r="B6" s="1" t="s">
        <v>257</v>
      </c>
      <c r="C6" s="5"/>
      <c r="D6" s="5">
        <v>4.1250000000000002E-2</v>
      </c>
      <c r="E6" s="5">
        <v>3.875E-2</v>
      </c>
      <c r="F6" s="5">
        <v>3.6249999999999998E-2</v>
      </c>
      <c r="G6" s="5">
        <v>3.3750000000000002E-2</v>
      </c>
      <c r="H6" s="5">
        <v>3.125E-2</v>
      </c>
      <c r="I6" s="5">
        <v>3.15E-2</v>
      </c>
      <c r="J6" s="5">
        <v>2.9499999999999998E-2</v>
      </c>
      <c r="K6" s="5">
        <v>2.8500000000000001E-2</v>
      </c>
      <c r="L6" s="118">
        <v>2.6749999999999999E-2</v>
      </c>
      <c r="M6" s="118">
        <v>2.3E-2</v>
      </c>
      <c r="N6" s="118">
        <v>2.35E-2</v>
      </c>
      <c r="O6" s="118">
        <v>2.325E-2</v>
      </c>
      <c r="P6" s="221">
        <v>0.02</v>
      </c>
      <c r="Q6" s="221">
        <v>0.02</v>
      </c>
      <c r="R6" s="221">
        <v>2.3E-2</v>
      </c>
      <c r="S6" s="221">
        <v>2.0250000000000001E-2</v>
      </c>
      <c r="T6" s="221">
        <v>1.7000000000000001E-2</v>
      </c>
      <c r="U6" s="221">
        <f t="shared" ref="U6:V8" si="0">+T6</f>
        <v>1.7000000000000001E-2</v>
      </c>
      <c r="V6" s="324">
        <v>2.1000000000000001E-2</v>
      </c>
      <c r="W6" s="553">
        <v>1.6750000000000001E-2</v>
      </c>
      <c r="X6" s="554">
        <v>1.6250000000000001E-2</v>
      </c>
      <c r="Y6" s="554">
        <f t="shared" ref="Y6:AA8" si="1">+X6</f>
        <v>1.6250000000000001E-2</v>
      </c>
      <c r="Z6" s="554">
        <f t="shared" si="1"/>
        <v>1.6250000000000001E-2</v>
      </c>
      <c r="AA6" s="554">
        <f t="shared" si="1"/>
        <v>1.6250000000000001E-2</v>
      </c>
    </row>
    <row r="7" spans="1:29" s="1" customFormat="1" x14ac:dyDescent="0.2">
      <c r="A7" s="1" t="s">
        <v>2</v>
      </c>
      <c r="B7" s="1" t="s">
        <v>257</v>
      </c>
      <c r="C7" s="5"/>
      <c r="D7" s="5">
        <v>4.4999999999999998E-2</v>
      </c>
      <c r="E7" s="5">
        <v>0.04</v>
      </c>
      <c r="F7" s="5">
        <v>3.5000000000000003E-2</v>
      </c>
      <c r="G7" s="5">
        <v>3.2500000000000001E-2</v>
      </c>
      <c r="H7" s="5">
        <v>3.2000000000000001E-2</v>
      </c>
      <c r="I7" s="5">
        <v>2.9000000000000001E-2</v>
      </c>
      <c r="J7" s="5">
        <v>3.0499999999999999E-2</v>
      </c>
      <c r="K7" s="5">
        <v>3.3500000000000002E-2</v>
      </c>
      <c r="L7" s="118">
        <v>3.7499999999999999E-2</v>
      </c>
      <c r="M7" s="118">
        <v>3.5999999999999997E-2</v>
      </c>
      <c r="N7" s="118">
        <v>3.4000000000000002E-2</v>
      </c>
      <c r="O7" s="118">
        <v>3.2000000000000001E-2</v>
      </c>
      <c r="P7" s="221">
        <v>2.35E-2</v>
      </c>
      <c r="Q7" s="221">
        <v>3.5499999999999997E-2</v>
      </c>
      <c r="R7" s="221">
        <f>+Q7</f>
        <v>3.5499999999999997E-2</v>
      </c>
      <c r="S7" s="221">
        <v>3.4000000000000002E-2</v>
      </c>
      <c r="T7" s="324">
        <v>0.03</v>
      </c>
      <c r="U7" s="324">
        <f t="shared" si="0"/>
        <v>0.03</v>
      </c>
      <c r="V7" s="324">
        <f t="shared" si="0"/>
        <v>0.03</v>
      </c>
      <c r="W7" s="553">
        <v>2.7E-2</v>
      </c>
      <c r="X7" s="554">
        <v>2.5000000000000001E-2</v>
      </c>
      <c r="Y7" s="554">
        <f t="shared" si="1"/>
        <v>2.5000000000000001E-2</v>
      </c>
      <c r="Z7" s="554">
        <f t="shared" si="1"/>
        <v>2.5000000000000001E-2</v>
      </c>
      <c r="AA7" s="554">
        <f t="shared" si="1"/>
        <v>2.5000000000000001E-2</v>
      </c>
    </row>
    <row r="8" spans="1:29" s="1" customFormat="1" x14ac:dyDescent="0.2">
      <c r="A8" s="1" t="s">
        <v>3</v>
      </c>
      <c r="B8" s="1" t="s">
        <v>257</v>
      </c>
      <c r="C8" s="5"/>
      <c r="D8" s="5">
        <v>3.5000000000000003E-2</v>
      </c>
      <c r="E8" s="5">
        <v>0.03</v>
      </c>
      <c r="F8" s="5">
        <v>2.5000000000000001E-2</v>
      </c>
      <c r="G8" s="5">
        <v>2.2499999999999999E-2</v>
      </c>
      <c r="H8" s="5">
        <v>2.1999999999999999E-2</v>
      </c>
      <c r="I8" s="5">
        <v>1.9E-2</v>
      </c>
      <c r="J8" s="5">
        <v>2.0500000000000001E-2</v>
      </c>
      <c r="K8" s="5">
        <v>2.35E-2</v>
      </c>
      <c r="L8" s="118">
        <v>2.75E-2</v>
      </c>
      <c r="M8" s="118">
        <v>2.5999999999999999E-2</v>
      </c>
      <c r="N8" s="118">
        <v>2.4E-2</v>
      </c>
      <c r="O8" s="118">
        <v>2.1999999999999999E-2</v>
      </c>
      <c r="P8" s="221">
        <v>1.35E-2</v>
      </c>
      <c r="Q8" s="221">
        <v>2.5499999999999998E-2</v>
      </c>
      <c r="R8" s="221">
        <f>+Q8</f>
        <v>2.5499999999999998E-2</v>
      </c>
      <c r="S8" s="221">
        <v>2.4E-2</v>
      </c>
      <c r="T8" s="324">
        <v>0.02</v>
      </c>
      <c r="U8" s="324">
        <f t="shared" si="0"/>
        <v>0.02</v>
      </c>
      <c r="V8" s="324">
        <f t="shared" si="0"/>
        <v>0.02</v>
      </c>
      <c r="W8" s="553">
        <v>1.7000000000000001E-2</v>
      </c>
      <c r="X8" s="554">
        <v>1.4999999999999999E-2</v>
      </c>
      <c r="Y8" s="554">
        <f t="shared" si="1"/>
        <v>1.4999999999999999E-2</v>
      </c>
      <c r="Z8" s="554">
        <f t="shared" si="1"/>
        <v>1.4999999999999999E-2</v>
      </c>
      <c r="AA8" s="554">
        <f t="shared" si="1"/>
        <v>1.4999999999999999E-2</v>
      </c>
    </row>
    <row r="9" spans="1:29" x14ac:dyDescent="0.2">
      <c r="P9" s="196"/>
      <c r="Q9" s="196"/>
      <c r="S9" s="196"/>
      <c r="T9" s="196"/>
      <c r="U9" s="196"/>
      <c r="V9" s="196"/>
      <c r="W9" s="467"/>
      <c r="X9" s="312"/>
      <c r="Y9" s="312"/>
      <c r="Z9" s="312"/>
      <c r="AA9" s="334"/>
    </row>
    <row r="10" spans="1:29" x14ac:dyDescent="0.2">
      <c r="A10" s="2" t="s">
        <v>4</v>
      </c>
      <c r="B10" s="2"/>
      <c r="P10" s="196"/>
      <c r="Q10" s="196"/>
      <c r="S10" s="196"/>
      <c r="T10" s="196"/>
      <c r="U10" s="196"/>
      <c r="V10" s="196"/>
      <c r="W10" s="528"/>
      <c r="X10" s="549"/>
      <c r="Y10" s="549"/>
      <c r="Z10" s="549"/>
      <c r="AA10" s="550"/>
    </row>
    <row r="11" spans="1:29" s="3" customFormat="1" x14ac:dyDescent="0.2">
      <c r="A11" s="3" t="s">
        <v>11</v>
      </c>
      <c r="B11" s="1" t="s">
        <v>257</v>
      </c>
      <c r="C11" s="7">
        <v>380</v>
      </c>
      <c r="D11" s="7">
        <v>347</v>
      </c>
      <c r="E11" s="7">
        <v>273</v>
      </c>
      <c r="F11" s="7">
        <v>286</v>
      </c>
      <c r="G11" s="7">
        <v>239</v>
      </c>
      <c r="H11" s="7">
        <v>306</v>
      </c>
      <c r="I11" s="7">
        <v>361</v>
      </c>
      <c r="J11" s="7">
        <v>474.67</v>
      </c>
      <c r="K11" s="7">
        <v>157.977</v>
      </c>
      <c r="L11" s="119">
        <f>K11+SUM(L12:L18)</f>
        <v>188.56900000000002</v>
      </c>
      <c r="M11" s="119">
        <v>167.649</v>
      </c>
      <c r="N11" s="119">
        <v>207.655</v>
      </c>
      <c r="O11" s="119">
        <v>245.40100000000001</v>
      </c>
      <c r="P11" s="222">
        <v>227.29400000000001</v>
      </c>
      <c r="Q11" s="222">
        <v>295.99200000000002</v>
      </c>
      <c r="R11" s="222">
        <v>383.58199999999999</v>
      </c>
      <c r="S11" s="222">
        <v>391.83499999999998</v>
      </c>
      <c r="T11" s="222">
        <v>380.09500000000003</v>
      </c>
      <c r="U11" s="222">
        <v>344.35599999999999</v>
      </c>
      <c r="V11" s="222">
        <v>329.99400000000003</v>
      </c>
      <c r="W11" s="484">
        <v>309.17200000000003</v>
      </c>
      <c r="X11" s="313">
        <f t="shared" ref="X11:AA11" si="2">W11+SUM(X12:X18)</f>
        <v>310.16956500000003</v>
      </c>
      <c r="Y11" s="313">
        <f t="shared" si="2"/>
        <v>311.20723923125001</v>
      </c>
      <c r="Z11" s="313">
        <f t="shared" si="2"/>
        <v>312.28814035075783</v>
      </c>
      <c r="AA11" s="335">
        <f t="shared" si="2"/>
        <v>313.41552635068763</v>
      </c>
    </row>
    <row r="12" spans="1:29" s="3" customFormat="1" x14ac:dyDescent="0.2">
      <c r="A12" s="3" t="s">
        <v>5</v>
      </c>
      <c r="B12" s="1" t="s">
        <v>257</v>
      </c>
      <c r="C12" s="7"/>
      <c r="D12" s="7">
        <v>17</v>
      </c>
      <c r="E12" s="7">
        <v>15</v>
      </c>
      <c r="F12" s="7">
        <v>11</v>
      </c>
      <c r="G12" s="7">
        <v>10</v>
      </c>
      <c r="H12" s="7">
        <v>8</v>
      </c>
      <c r="I12" s="7">
        <v>10</v>
      </c>
      <c r="J12" s="7">
        <v>11.702999999999999</v>
      </c>
      <c r="K12" s="7">
        <v>14.253</v>
      </c>
      <c r="L12" s="119">
        <v>4.6189999999999998</v>
      </c>
      <c r="M12" s="119">
        <v>5.1639999999999997</v>
      </c>
      <c r="N12" s="119">
        <v>3.9079999999999999</v>
      </c>
      <c r="O12" s="119">
        <v>4.9509999999999996</v>
      </c>
      <c r="P12" s="222">
        <v>5.7779999999999996</v>
      </c>
      <c r="Q12" s="222">
        <v>4.601</v>
      </c>
      <c r="R12" s="222">
        <v>6.899</v>
      </c>
      <c r="S12" s="222">
        <v>7.86</v>
      </c>
      <c r="T12" s="222">
        <v>6.7409999999999997</v>
      </c>
      <c r="U12" s="222">
        <v>6.52</v>
      </c>
      <c r="V12" s="222">
        <v>6.016</v>
      </c>
      <c r="W12" s="484">
        <v>5.5140000000000002</v>
      </c>
      <c r="X12" s="313">
        <f t="shared" ref="X12:AA12" si="3">W11*X6</f>
        <v>5.024045000000001</v>
      </c>
      <c r="Y12" s="313">
        <f t="shared" si="3"/>
        <v>5.0402554312500003</v>
      </c>
      <c r="Z12" s="313">
        <f t="shared" si="3"/>
        <v>5.0571176375078126</v>
      </c>
      <c r="AA12" s="335">
        <f t="shared" si="3"/>
        <v>5.0746822806998146</v>
      </c>
    </row>
    <row r="13" spans="1:29" s="3" customFormat="1" x14ac:dyDescent="0.2">
      <c r="A13" s="3" t="s">
        <v>50</v>
      </c>
      <c r="B13" s="1" t="s">
        <v>257</v>
      </c>
      <c r="C13" s="7"/>
      <c r="D13" s="7">
        <v>31</v>
      </c>
      <c r="E13" s="7">
        <v>21</v>
      </c>
      <c r="F13" s="7">
        <v>25</v>
      </c>
      <c r="G13" s="7">
        <v>22</v>
      </c>
      <c r="H13" s="7">
        <v>18</v>
      </c>
      <c r="I13" s="7">
        <v>32</v>
      </c>
      <c r="J13" s="7">
        <v>32.648000000000003</v>
      </c>
      <c r="K13" s="7">
        <v>9.0760000000000005</v>
      </c>
      <c r="L13" s="119">
        <v>10.337</v>
      </c>
      <c r="M13" s="119">
        <v>11.595000000000001</v>
      </c>
      <c r="N13" s="119">
        <v>7.33</v>
      </c>
      <c r="O13" s="119">
        <v>9.3049999999999997</v>
      </c>
      <c r="P13" s="222">
        <v>10.839</v>
      </c>
      <c r="Q13" s="222">
        <v>9.9450000000000003</v>
      </c>
      <c r="R13" s="222">
        <v>12.819000000000001</v>
      </c>
      <c r="S13" s="222">
        <v>15.012</v>
      </c>
      <c r="T13" s="222">
        <v>14.574999999999999</v>
      </c>
      <c r="U13" s="222">
        <v>13.451000000000001</v>
      </c>
      <c r="V13" s="222">
        <v>6.5359999999999996</v>
      </c>
      <c r="W13" s="484">
        <v>8.2240000000000002</v>
      </c>
      <c r="X13" s="313">
        <f t="shared" ref="X13:AA13" si="4">W13*(1+X7)</f>
        <v>8.4295999999999989</v>
      </c>
      <c r="Y13" s="313">
        <f t="shared" si="4"/>
        <v>8.6403399999999984</v>
      </c>
      <c r="Z13" s="313">
        <f t="shared" si="4"/>
        <v>8.8563484999999975</v>
      </c>
      <c r="AA13" s="335">
        <f t="shared" si="4"/>
        <v>9.0777572124999963</v>
      </c>
    </row>
    <row r="14" spans="1:29" s="3" customFormat="1" x14ac:dyDescent="0.2">
      <c r="A14" s="3" t="s">
        <v>207</v>
      </c>
      <c r="B14" s="1" t="s">
        <v>257</v>
      </c>
      <c r="C14" s="7"/>
      <c r="D14" s="7"/>
      <c r="E14" s="7"/>
      <c r="F14" s="7"/>
      <c r="G14" s="7"/>
      <c r="H14" s="7"/>
      <c r="I14" s="7">
        <v>39</v>
      </c>
      <c r="J14" s="7"/>
      <c r="K14" s="7"/>
      <c r="L14" s="119"/>
      <c r="M14" s="119"/>
      <c r="N14" s="119"/>
      <c r="O14" s="119"/>
      <c r="P14" s="222"/>
      <c r="Q14" s="222"/>
      <c r="R14" s="234"/>
      <c r="S14" s="222"/>
      <c r="T14" s="222"/>
      <c r="U14" s="222"/>
      <c r="V14" s="222"/>
      <c r="W14" s="484"/>
      <c r="X14" s="313"/>
      <c r="Y14" s="313"/>
      <c r="Z14" s="313"/>
      <c r="AA14" s="335"/>
    </row>
    <row r="15" spans="1:29" s="3" customFormat="1" x14ac:dyDescent="0.2">
      <c r="A15" s="3" t="s">
        <v>208</v>
      </c>
      <c r="B15" s="1" t="s">
        <v>257</v>
      </c>
      <c r="C15" s="7"/>
      <c r="D15" s="7"/>
      <c r="E15" s="7"/>
      <c r="F15" s="7">
        <v>71</v>
      </c>
      <c r="G15" s="7"/>
      <c r="H15" s="7"/>
      <c r="I15" s="7"/>
      <c r="J15" s="7"/>
      <c r="K15" s="7"/>
      <c r="L15" s="119"/>
      <c r="M15" s="119"/>
      <c r="N15" s="119"/>
      <c r="O15" s="119"/>
      <c r="P15" s="222"/>
      <c r="Q15" s="222"/>
      <c r="R15" s="234"/>
      <c r="S15" s="222"/>
      <c r="T15" s="222"/>
      <c r="U15" s="222"/>
      <c r="V15" s="222"/>
      <c r="W15" s="484"/>
      <c r="X15" s="313"/>
      <c r="Y15" s="313"/>
      <c r="Z15" s="313"/>
      <c r="AA15" s="335"/>
      <c r="AC15" s="298"/>
    </row>
    <row r="16" spans="1:29" s="3" customFormat="1" x14ac:dyDescent="0.2">
      <c r="A16" s="3" t="s">
        <v>9</v>
      </c>
      <c r="B16" s="1" t="s">
        <v>257</v>
      </c>
      <c r="C16" s="7"/>
      <c r="D16" s="7"/>
      <c r="E16" s="7"/>
      <c r="F16" s="7"/>
      <c r="G16" s="7"/>
      <c r="H16" s="7"/>
      <c r="I16" s="7">
        <v>-1</v>
      </c>
      <c r="J16" s="7">
        <v>-1.238</v>
      </c>
      <c r="K16" s="7">
        <v>-1.7290000000000001</v>
      </c>
      <c r="L16" s="119">
        <v>-2.056</v>
      </c>
      <c r="M16" s="119">
        <v>-2.5750000000000002</v>
      </c>
      <c r="N16" s="119">
        <v>-2.8</v>
      </c>
      <c r="O16" s="119">
        <v>-3.2210000000000001</v>
      </c>
      <c r="P16" s="222">
        <v>-3.7120000000000002</v>
      </c>
      <c r="Q16" s="222">
        <v>-4.4249999999999998</v>
      </c>
      <c r="R16" s="222">
        <v>-4.8099999999999996</v>
      </c>
      <c r="S16" s="222">
        <v>-5.9169999999999998</v>
      </c>
      <c r="T16" s="222">
        <v>-6.06</v>
      </c>
      <c r="U16" s="222">
        <v>-6.5910000000000002</v>
      </c>
      <c r="V16" s="222">
        <v>-9.0350000000000001</v>
      </c>
      <c r="W16" s="484">
        <v>-12.272</v>
      </c>
      <c r="X16" s="313">
        <f t="shared" ref="X16:AA16" si="5">W16*(1+X8)</f>
        <v>-12.456079999999998</v>
      </c>
      <c r="Y16" s="313">
        <f t="shared" si="5"/>
        <v>-12.642921199999996</v>
      </c>
      <c r="Z16" s="313">
        <f t="shared" si="5"/>
        <v>-12.832565017999995</v>
      </c>
      <c r="AA16" s="335">
        <f t="shared" si="5"/>
        <v>-13.025053493269994</v>
      </c>
    </row>
    <row r="17" spans="1:27" s="3" customFormat="1" x14ac:dyDescent="0.2">
      <c r="A17" s="3" t="s">
        <v>6</v>
      </c>
      <c r="B17" s="1" t="s">
        <v>257</v>
      </c>
      <c r="C17" s="7"/>
      <c r="D17" s="7">
        <v>-61</v>
      </c>
      <c r="E17" s="7">
        <v>-108</v>
      </c>
      <c r="F17" s="7">
        <v>-74</v>
      </c>
      <c r="G17" s="7">
        <v>-100</v>
      </c>
      <c r="H17" s="7">
        <v>31</v>
      </c>
      <c r="I17" s="7">
        <v>-44</v>
      </c>
      <c r="J17" s="7">
        <v>25.167000000000002</v>
      </c>
      <c r="K17" s="7">
        <v>3.7749999999999999</v>
      </c>
      <c r="L17" s="119">
        <v>-5.92</v>
      </c>
      <c r="M17" s="119">
        <v>4.5030000000000001</v>
      </c>
      <c r="N17" s="119">
        <v>31.687999999999999</v>
      </c>
      <c r="O17" s="119">
        <v>21.056000000000001</v>
      </c>
      <c r="P17" s="222">
        <v>-16.713999999999999</v>
      </c>
      <c r="Q17" s="222">
        <v>32.131</v>
      </c>
      <c r="R17" s="222">
        <v>35.783999999999999</v>
      </c>
      <c r="S17" s="222">
        <v>-12.231</v>
      </c>
      <c r="T17" s="222">
        <v>53.651000000000003</v>
      </c>
      <c r="U17" s="222">
        <v>-14.474</v>
      </c>
      <c r="V17" s="222">
        <f>21.55+1.529</f>
        <v>23.079000000000001</v>
      </c>
      <c r="W17" s="484">
        <f>1.208-2.294</f>
        <v>-1.0860000000000001</v>
      </c>
      <c r="X17" s="313"/>
      <c r="Y17" s="313"/>
      <c r="Z17" s="313"/>
      <c r="AA17" s="335"/>
    </row>
    <row r="18" spans="1:27" s="3" customFormat="1" x14ac:dyDescent="0.2">
      <c r="A18" s="3" t="s">
        <v>7</v>
      </c>
      <c r="B18" s="1" t="s">
        <v>257</v>
      </c>
      <c r="C18" s="7"/>
      <c r="D18" s="7">
        <v>-21</v>
      </c>
      <c r="E18" s="7">
        <v>-1</v>
      </c>
      <c r="F18" s="7">
        <v>-20</v>
      </c>
      <c r="G18" s="7">
        <v>21</v>
      </c>
      <c r="H18" s="7">
        <v>10</v>
      </c>
      <c r="I18" s="7">
        <v>19</v>
      </c>
      <c r="J18" s="7">
        <v>44.91</v>
      </c>
      <c r="K18" s="7">
        <v>-342.06799999999998</v>
      </c>
      <c r="L18" s="119">
        <v>23.611999999999998</v>
      </c>
      <c r="M18" s="119">
        <f>-39.607</f>
        <v>-39.606999999999999</v>
      </c>
      <c r="N18" s="119">
        <v>0.12</v>
      </c>
      <c r="O18" s="119">
        <v>5.6550000000000002</v>
      </c>
      <c r="P18" s="222">
        <v>-14.308</v>
      </c>
      <c r="Q18" s="222">
        <v>26.446000000000002</v>
      </c>
      <c r="R18" s="222">
        <v>36.898000000000003</v>
      </c>
      <c r="S18" s="222">
        <v>3.5289999999999999</v>
      </c>
      <c r="T18" s="222">
        <v>-80.647000000000006</v>
      </c>
      <c r="U18" s="222">
        <v>-34.645000000000003</v>
      </c>
      <c r="V18" s="222">
        <v>-40.957999999999998</v>
      </c>
      <c r="W18" s="484">
        <v>-21.202000000000002</v>
      </c>
      <c r="X18" s="313"/>
      <c r="Y18" s="313"/>
      <c r="Z18" s="313"/>
      <c r="AA18" s="335"/>
    </row>
    <row r="19" spans="1:27" s="8" customFormat="1" x14ac:dyDescent="0.2">
      <c r="A19" s="8" t="s">
        <v>10</v>
      </c>
      <c r="B19" s="8" t="s">
        <v>31</v>
      </c>
      <c r="C19" s="8">
        <f t="shared" ref="C19:K19" si="6">SUM(C12:C18)</f>
        <v>0</v>
      </c>
      <c r="D19" s="8">
        <f t="shared" si="6"/>
        <v>-34</v>
      </c>
      <c r="E19" s="8">
        <f t="shared" si="6"/>
        <v>-73</v>
      </c>
      <c r="F19" s="8">
        <f t="shared" si="6"/>
        <v>13</v>
      </c>
      <c r="G19" s="8">
        <f t="shared" si="6"/>
        <v>-47</v>
      </c>
      <c r="H19" s="8">
        <f t="shared" si="6"/>
        <v>67</v>
      </c>
      <c r="I19" s="8">
        <f t="shared" si="6"/>
        <v>55</v>
      </c>
      <c r="J19" s="8">
        <f t="shared" si="6"/>
        <v>113.19</v>
      </c>
      <c r="K19" s="8">
        <f t="shared" si="6"/>
        <v>-316.69299999999998</v>
      </c>
      <c r="L19" s="120">
        <f t="shared" ref="L19:Y19" si="7">SUM(L12:L18)</f>
        <v>30.591999999999999</v>
      </c>
      <c r="M19" s="120">
        <f t="shared" si="7"/>
        <v>-20.919999999999998</v>
      </c>
      <c r="N19" s="120">
        <f t="shared" si="7"/>
        <v>40.245999999999995</v>
      </c>
      <c r="O19" s="120">
        <f t="shared" si="7"/>
        <v>37.746000000000002</v>
      </c>
      <c r="P19" s="201">
        <f t="shared" si="7"/>
        <v>-18.116999999999997</v>
      </c>
      <c r="Q19" s="201">
        <f t="shared" si="7"/>
        <v>68.697999999999993</v>
      </c>
      <c r="R19" s="201">
        <f t="shared" si="7"/>
        <v>87.59</v>
      </c>
      <c r="S19" s="201">
        <f t="shared" si="7"/>
        <v>8.2529999999999983</v>
      </c>
      <c r="T19" s="201">
        <f t="shared" si="7"/>
        <v>-11.739999999999995</v>
      </c>
      <c r="U19" s="201">
        <f t="shared" si="7"/>
        <v>-35.739000000000004</v>
      </c>
      <c r="V19" s="201">
        <f t="shared" si="7"/>
        <v>-14.361999999999998</v>
      </c>
      <c r="W19" s="485">
        <f t="shared" si="7"/>
        <v>-20.822000000000003</v>
      </c>
      <c r="X19" s="326">
        <f t="shared" si="7"/>
        <v>0.99756500000000159</v>
      </c>
      <c r="Y19" s="326">
        <f t="shared" si="7"/>
        <v>1.0376742312500014</v>
      </c>
      <c r="Z19" s="326">
        <f>SUM(Z12:Z18)</f>
        <v>1.080901119507816</v>
      </c>
      <c r="AA19" s="336">
        <f>SUM(AA12:AA18)</f>
        <v>1.1273859999298175</v>
      </c>
    </row>
    <row r="20" spans="1:27" s="8" customFormat="1" x14ac:dyDescent="0.2">
      <c r="A20" s="8" t="s">
        <v>8</v>
      </c>
      <c r="B20" s="8" t="s">
        <v>31</v>
      </c>
      <c r="D20" s="8">
        <f t="shared" ref="D20:K20" si="8">D11-C11-D19</f>
        <v>1</v>
      </c>
      <c r="E20" s="8">
        <f t="shared" si="8"/>
        <v>-1</v>
      </c>
      <c r="F20" s="8">
        <f t="shared" si="8"/>
        <v>0</v>
      </c>
      <c r="G20" s="8">
        <f t="shared" si="8"/>
        <v>0</v>
      </c>
      <c r="H20" s="8">
        <f t="shared" si="8"/>
        <v>0</v>
      </c>
      <c r="I20" s="8">
        <f t="shared" si="8"/>
        <v>0</v>
      </c>
      <c r="J20" s="8">
        <f t="shared" si="8"/>
        <v>0.48000000000001819</v>
      </c>
      <c r="K20" s="8">
        <f t="shared" si="8"/>
        <v>0</v>
      </c>
      <c r="L20" s="120">
        <f t="shared" ref="L20:AA20" si="9">L11-K11-L19</f>
        <v>0</v>
      </c>
      <c r="M20" s="120">
        <f t="shared" si="9"/>
        <v>0</v>
      </c>
      <c r="N20" s="120">
        <f t="shared" si="9"/>
        <v>-0.23999999999999488</v>
      </c>
      <c r="O20" s="120">
        <f t="shared" si="9"/>
        <v>0</v>
      </c>
      <c r="P20" s="201">
        <f t="shared" si="9"/>
        <v>9.9999999999980105E-3</v>
      </c>
      <c r="Q20" s="201">
        <f t="shared" si="9"/>
        <v>0</v>
      </c>
      <c r="R20" s="120">
        <f t="shared" si="9"/>
        <v>0</v>
      </c>
      <c r="S20" s="201">
        <f t="shared" si="9"/>
        <v>0</v>
      </c>
      <c r="T20" s="201">
        <f t="shared" si="9"/>
        <v>4.2632564145606011E-14</v>
      </c>
      <c r="U20" s="201">
        <f t="shared" si="9"/>
        <v>0</v>
      </c>
      <c r="V20" s="201">
        <f t="shared" si="9"/>
        <v>3.1974423109204508E-14</v>
      </c>
      <c r="W20" s="531">
        <f t="shared" si="9"/>
        <v>0</v>
      </c>
      <c r="X20" s="326">
        <f t="shared" si="9"/>
        <v>7.1054273576010019E-15</v>
      </c>
      <c r="Y20" s="326">
        <f t="shared" si="9"/>
        <v>-2.1316282072803006E-14</v>
      </c>
      <c r="Z20" s="326">
        <f t="shared" si="9"/>
        <v>-1.7763568394002505E-15</v>
      </c>
      <c r="AA20" s="336">
        <f t="shared" si="9"/>
        <v>-1.7763568394002505E-14</v>
      </c>
    </row>
    <row r="21" spans="1:27" x14ac:dyDescent="0.2">
      <c r="P21" s="223"/>
      <c r="Q21" s="223"/>
      <c r="S21" s="202"/>
      <c r="T21" s="202"/>
      <c r="U21" s="202"/>
      <c r="V21" s="202"/>
      <c r="W21" s="528"/>
      <c r="X21" s="312"/>
      <c r="Y21" s="312"/>
      <c r="Z21" s="312"/>
      <c r="AA21" s="334"/>
    </row>
    <row r="22" spans="1:27" x14ac:dyDescent="0.2">
      <c r="A22" s="2" t="s">
        <v>13</v>
      </c>
      <c r="B22" s="2"/>
      <c r="P22" s="223"/>
      <c r="Q22" s="223"/>
      <c r="S22" s="202"/>
      <c r="T22" s="202"/>
      <c r="U22" s="202"/>
      <c r="V22" s="202"/>
      <c r="W22" s="528"/>
      <c r="X22" s="312"/>
      <c r="Y22" s="312"/>
      <c r="Z22" s="312"/>
      <c r="AA22" s="334"/>
    </row>
    <row r="23" spans="1:27" s="9" customFormat="1" x14ac:dyDescent="0.2">
      <c r="A23" s="9" t="s">
        <v>22</v>
      </c>
      <c r="B23" s="58" t="s">
        <v>257</v>
      </c>
      <c r="C23" s="10">
        <v>0</v>
      </c>
      <c r="D23" s="10">
        <v>1</v>
      </c>
      <c r="E23" s="10">
        <v>1</v>
      </c>
      <c r="F23" s="10">
        <v>1</v>
      </c>
      <c r="G23" s="10">
        <v>1</v>
      </c>
      <c r="H23" s="10">
        <v>2</v>
      </c>
      <c r="I23" s="10">
        <v>2</v>
      </c>
      <c r="J23" s="10">
        <v>2.149</v>
      </c>
      <c r="K23" s="10">
        <v>5.2229999999999999</v>
      </c>
      <c r="L23" s="121">
        <v>7.9279999999999999</v>
      </c>
      <c r="M23" s="121">
        <v>9.5860000000000003</v>
      </c>
      <c r="N23" s="121">
        <v>10.486000000000001</v>
      </c>
      <c r="O23" s="121">
        <v>10.577</v>
      </c>
      <c r="P23" s="203">
        <v>13.72</v>
      </c>
      <c r="Q23" s="203">
        <v>13.725</v>
      </c>
      <c r="R23" s="121">
        <v>15.369</v>
      </c>
      <c r="S23" s="203">
        <v>15.557</v>
      </c>
      <c r="T23" s="203">
        <v>17.167999999999999</v>
      </c>
      <c r="U23" s="121">
        <v>24.364999999999998</v>
      </c>
      <c r="V23" s="121">
        <v>26.102</v>
      </c>
      <c r="W23" s="484">
        <v>25.126000000000001</v>
      </c>
      <c r="X23" s="313">
        <f t="shared" ref="X23:AA23" si="10">W23*(1+X6)+X29+X16</f>
        <v>24.610492500000007</v>
      </c>
      <c r="Y23" s="313">
        <f t="shared" si="10"/>
        <v>24.188073678125015</v>
      </c>
      <c r="Z23" s="313">
        <f t="shared" si="10"/>
        <v>23.864661279269548</v>
      </c>
      <c r="AA23" s="335">
        <f t="shared" si="10"/>
        <v>23.646407364209558</v>
      </c>
    </row>
    <row r="24" spans="1:27" x14ac:dyDescent="0.2">
      <c r="P24" s="223"/>
      <c r="Q24" s="223"/>
      <c r="S24" s="202"/>
      <c r="T24" s="202"/>
      <c r="U24" s="310"/>
      <c r="V24" s="310"/>
      <c r="W24" s="528"/>
      <c r="X24" s="312"/>
      <c r="Y24" s="312"/>
      <c r="Z24" s="312"/>
      <c r="AA24" s="334"/>
    </row>
    <row r="25" spans="1:27" x14ac:dyDescent="0.2">
      <c r="A25" s="2" t="s">
        <v>23</v>
      </c>
      <c r="B25" s="2"/>
      <c r="P25" s="223"/>
      <c r="Q25" s="223"/>
      <c r="S25" s="202"/>
      <c r="T25" s="202"/>
      <c r="U25" s="310"/>
      <c r="V25" s="310"/>
      <c r="W25" s="528"/>
      <c r="X25" s="312"/>
      <c r="Y25" s="312"/>
      <c r="Z25" s="312"/>
      <c r="AA25" s="334"/>
    </row>
    <row r="26" spans="1:27" s="3" customFormat="1" x14ac:dyDescent="0.2">
      <c r="A26" s="3" t="s">
        <v>16</v>
      </c>
      <c r="B26" s="1" t="s">
        <v>257</v>
      </c>
      <c r="C26" s="7"/>
      <c r="D26" s="7"/>
      <c r="E26" s="7"/>
      <c r="F26" s="7"/>
      <c r="G26" s="7"/>
      <c r="H26" s="7">
        <v>0.6</v>
      </c>
      <c r="I26" s="7">
        <v>0.7</v>
      </c>
      <c r="J26" s="7">
        <v>0.76800000000000002</v>
      </c>
      <c r="K26" s="7">
        <v>2.4340000000000002</v>
      </c>
      <c r="L26" s="119">
        <v>2.4009999999999998</v>
      </c>
      <c r="M26" s="119">
        <v>2.1230000000000002</v>
      </c>
      <c r="N26" s="119">
        <v>1.8260000000000001</v>
      </c>
      <c r="O26" s="119">
        <v>1.4270229999999999</v>
      </c>
      <c r="P26" s="203">
        <v>3.3940109999999999</v>
      </c>
      <c r="Q26" s="203">
        <v>2.2229999999999999</v>
      </c>
      <c r="R26" s="119">
        <v>3.2330000000000001</v>
      </c>
      <c r="S26" s="203">
        <v>3.0710000000000002</v>
      </c>
      <c r="T26" s="203">
        <v>3.847</v>
      </c>
      <c r="U26" s="121">
        <v>6.9029999999999996</v>
      </c>
      <c r="V26" s="121">
        <v>5.4210000000000003</v>
      </c>
      <c r="W26" s="484">
        <v>5.59</v>
      </c>
      <c r="X26" s="313">
        <f t="shared" ref="X26:AA26" si="11">W26*(1+X$7)</f>
        <v>5.7297499999999992</v>
      </c>
      <c r="Y26" s="313">
        <f t="shared" si="11"/>
        <v>5.8729937499999991</v>
      </c>
      <c r="Z26" s="313">
        <f t="shared" si="11"/>
        <v>6.0198185937499984</v>
      </c>
      <c r="AA26" s="335">
        <f t="shared" si="11"/>
        <v>6.1703140585937479</v>
      </c>
    </row>
    <row r="27" spans="1:27" s="3" customFormat="1" x14ac:dyDescent="0.2">
      <c r="A27" s="3" t="s">
        <v>17</v>
      </c>
      <c r="B27" s="1" t="s">
        <v>257</v>
      </c>
      <c r="C27" s="7"/>
      <c r="D27" s="7"/>
      <c r="E27" s="7"/>
      <c r="F27" s="7"/>
      <c r="G27" s="7"/>
      <c r="H27" s="7">
        <v>0.2</v>
      </c>
      <c r="I27" s="7">
        <v>0.4</v>
      </c>
      <c r="J27" s="7">
        <v>0.14199999999999999</v>
      </c>
      <c r="K27" s="7">
        <v>0.53</v>
      </c>
      <c r="L27" s="119">
        <v>0.54300000000000004</v>
      </c>
      <c r="M27" s="119">
        <v>1.4470000000000001</v>
      </c>
      <c r="N27" s="119">
        <v>0.432</v>
      </c>
      <c r="O27" s="119">
        <v>0.75523700000000005</v>
      </c>
      <c r="P27" s="203">
        <v>0.88747699999999996</v>
      </c>
      <c r="Q27" s="203">
        <v>0.73899999999999999</v>
      </c>
      <c r="R27" s="119">
        <v>2.2240000000000002</v>
      </c>
      <c r="S27" s="203">
        <v>2.1859999999999999</v>
      </c>
      <c r="T27" s="203">
        <v>1.18</v>
      </c>
      <c r="U27" s="121">
        <v>1.5840000000000001</v>
      </c>
      <c r="V27" s="121">
        <v>0.79600000000000004</v>
      </c>
      <c r="W27" s="484">
        <v>2.3519999999999999</v>
      </c>
      <c r="X27" s="313">
        <f t="shared" ref="X27:X28" si="12">W27*(1+X$7)</f>
        <v>2.4107999999999996</v>
      </c>
      <c r="Y27" s="313">
        <f t="shared" ref="Y27:AA28" si="13">X27*(1+Y$7)</f>
        <v>2.4710699999999992</v>
      </c>
      <c r="Z27" s="313">
        <f t="shared" si="13"/>
        <v>2.5328467499999991</v>
      </c>
      <c r="AA27" s="335">
        <f t="shared" si="13"/>
        <v>2.5961679187499991</v>
      </c>
    </row>
    <row r="28" spans="1:27" s="3" customFormat="1" x14ac:dyDescent="0.2">
      <c r="A28" s="3" t="s">
        <v>19</v>
      </c>
      <c r="B28" s="1" t="s">
        <v>257</v>
      </c>
      <c r="C28" s="7"/>
      <c r="D28" s="7"/>
      <c r="E28" s="7"/>
      <c r="F28" s="7"/>
      <c r="G28" s="7"/>
      <c r="H28" s="7">
        <v>0.4</v>
      </c>
      <c r="I28" s="7">
        <v>0.3</v>
      </c>
      <c r="J28" s="7">
        <v>0.626</v>
      </c>
      <c r="K28" s="7">
        <v>1.9039999999999999</v>
      </c>
      <c r="L28" s="119">
        <v>1.8580000000000001</v>
      </c>
      <c r="M28" s="119">
        <v>0.67600000000000005</v>
      </c>
      <c r="N28" s="119">
        <v>1.3939999999999999</v>
      </c>
      <c r="O28" s="119">
        <v>1.0068349999999999</v>
      </c>
      <c r="P28" s="203">
        <v>2.5065339999999998</v>
      </c>
      <c r="Q28" s="203">
        <v>1.484</v>
      </c>
      <c r="R28" s="119">
        <v>1.01</v>
      </c>
      <c r="S28" s="203">
        <v>0.88500000000000001</v>
      </c>
      <c r="T28" s="203">
        <v>2.6659999999999999</v>
      </c>
      <c r="U28" s="121">
        <v>5.32</v>
      </c>
      <c r="V28" s="121">
        <v>4.6260000000000003</v>
      </c>
      <c r="W28" s="484">
        <v>3.3090000000000002</v>
      </c>
      <c r="X28" s="313">
        <f t="shared" si="12"/>
        <v>3.3917249999999997</v>
      </c>
      <c r="Y28" s="313">
        <f t="shared" si="13"/>
        <v>3.4765181249999992</v>
      </c>
      <c r="Z28" s="313">
        <f t="shared" si="13"/>
        <v>3.5634310781249989</v>
      </c>
      <c r="AA28" s="335">
        <f t="shared" si="13"/>
        <v>3.6525168550781237</v>
      </c>
    </row>
    <row r="29" spans="1:27" s="8" customFormat="1" x14ac:dyDescent="0.2">
      <c r="A29" s="8" t="s">
        <v>21</v>
      </c>
      <c r="B29" s="8" t="s">
        <v>31</v>
      </c>
      <c r="C29" s="8">
        <f>SUM(C26:C28)</f>
        <v>0</v>
      </c>
      <c r="D29" s="8">
        <f t="shared" ref="D29:K29" si="14">SUM(D26:D28)</f>
        <v>0</v>
      </c>
      <c r="E29" s="8">
        <f t="shared" si="14"/>
        <v>0</v>
      </c>
      <c r="F29" s="8">
        <f t="shared" si="14"/>
        <v>0</v>
      </c>
      <c r="G29" s="8">
        <f t="shared" si="14"/>
        <v>0</v>
      </c>
      <c r="H29" s="8">
        <f t="shared" si="14"/>
        <v>1.2000000000000002</v>
      </c>
      <c r="I29" s="8">
        <f t="shared" si="14"/>
        <v>1.4000000000000001</v>
      </c>
      <c r="J29" s="8">
        <f t="shared" si="14"/>
        <v>1.536</v>
      </c>
      <c r="K29" s="8">
        <f t="shared" si="14"/>
        <v>4.8680000000000003</v>
      </c>
      <c r="L29" s="120">
        <f t="shared" ref="L29:Y29" si="15">SUM(L26:L28)</f>
        <v>4.8019999999999996</v>
      </c>
      <c r="M29" s="120">
        <f t="shared" si="15"/>
        <v>4.2460000000000004</v>
      </c>
      <c r="N29" s="120">
        <f t="shared" si="15"/>
        <v>3.6520000000000001</v>
      </c>
      <c r="O29" s="120">
        <f t="shared" si="15"/>
        <v>3.189095</v>
      </c>
      <c r="P29" s="201">
        <f t="shared" si="15"/>
        <v>6.7880219999999998</v>
      </c>
      <c r="Q29" s="201">
        <f t="shared" si="15"/>
        <v>4.4459999999999997</v>
      </c>
      <c r="R29" s="120">
        <f t="shared" si="15"/>
        <v>6.4670000000000005</v>
      </c>
      <c r="S29" s="201">
        <f t="shared" si="15"/>
        <v>6.1419999999999995</v>
      </c>
      <c r="T29" s="201">
        <f t="shared" si="15"/>
        <v>7.6929999999999996</v>
      </c>
      <c r="U29" s="347">
        <f t="shared" si="15"/>
        <v>13.807</v>
      </c>
      <c r="V29" s="120">
        <f t="shared" si="15"/>
        <v>10.843</v>
      </c>
      <c r="W29" s="485">
        <f t="shared" si="15"/>
        <v>11.251000000000001</v>
      </c>
      <c r="X29" s="326">
        <f t="shared" si="15"/>
        <v>11.532274999999998</v>
      </c>
      <c r="Y29" s="326">
        <f t="shared" si="15"/>
        <v>11.820581874999998</v>
      </c>
      <c r="Z29" s="326">
        <f>SUM(Z26:Z28)</f>
        <v>12.116096421874996</v>
      </c>
      <c r="AA29" s="336">
        <f>SUM(AA26:AA28)</f>
        <v>12.418998832421872</v>
      </c>
    </row>
    <row r="30" spans="1:27" s="3" customFormat="1" x14ac:dyDescent="0.2">
      <c r="L30" s="122"/>
      <c r="M30" s="122"/>
      <c r="N30" s="122"/>
      <c r="O30" s="122"/>
      <c r="P30" s="204"/>
      <c r="Q30" s="204"/>
      <c r="R30" s="122"/>
      <c r="S30" s="204"/>
      <c r="T30" s="204"/>
      <c r="U30" s="147"/>
      <c r="V30" s="147"/>
      <c r="W30" s="532"/>
      <c r="X30" s="555"/>
      <c r="Y30" s="555"/>
      <c r="Z30" s="555"/>
      <c r="AA30" s="556"/>
    </row>
    <row r="31" spans="1:27" s="3" customFormat="1" x14ac:dyDescent="0.2">
      <c r="A31" s="12" t="s">
        <v>25</v>
      </c>
      <c r="B31" s="9" t="s">
        <v>254</v>
      </c>
      <c r="C31" s="7">
        <f>'Data Input'!I40</f>
        <v>14</v>
      </c>
      <c r="D31" s="7">
        <f>'Data Input'!J40</f>
        <v>14</v>
      </c>
      <c r="E31" s="7">
        <f>'Data Input'!K40</f>
        <v>13</v>
      </c>
      <c r="F31" s="7">
        <f>'Data Input'!L40</f>
        <v>13</v>
      </c>
      <c r="G31" s="7">
        <f>'Data Input'!M40</f>
        <v>14</v>
      </c>
      <c r="H31" s="7">
        <f>'Data Input'!N40</f>
        <v>14</v>
      </c>
      <c r="I31" s="7">
        <f>'Data Input'!O40</f>
        <v>13</v>
      </c>
      <c r="J31" s="7">
        <f>'Data Input'!P40</f>
        <v>13</v>
      </c>
      <c r="K31" s="7">
        <f>'Data Input'!Q40</f>
        <v>13</v>
      </c>
      <c r="L31" s="119">
        <f>'Data Input'!R40</f>
        <v>13</v>
      </c>
      <c r="M31" s="119">
        <f>'Data Input'!S40</f>
        <v>13</v>
      </c>
      <c r="N31" s="119">
        <f>'Data Input'!T40</f>
        <v>13.6</v>
      </c>
      <c r="O31" s="119">
        <f>'Data Input'!U40</f>
        <v>13.8</v>
      </c>
      <c r="P31" s="203">
        <f>'Data Input'!V40</f>
        <v>14</v>
      </c>
      <c r="Q31" s="224">
        <f>'Data Input'!W40</f>
        <v>14</v>
      </c>
      <c r="R31" s="235">
        <v>13.9</v>
      </c>
      <c r="S31" s="224">
        <f>'Data Input'!Y40</f>
        <v>14.1</v>
      </c>
      <c r="T31" s="224">
        <f>'Data Input'!Z40</f>
        <v>14.6</v>
      </c>
      <c r="U31" s="348">
        <f>'Data Input'!AA40</f>
        <v>14.5</v>
      </c>
      <c r="V31" s="348">
        <f>'Data Input'!AB40</f>
        <v>14.4</v>
      </c>
      <c r="W31" s="551">
        <f>'Data Input'!AC40</f>
        <v>15.3</v>
      </c>
      <c r="X31" s="552">
        <f>'Data Input'!AD40</f>
        <v>15.3</v>
      </c>
      <c r="Y31" s="552">
        <f>'Data Input'!AE40</f>
        <v>15.3</v>
      </c>
      <c r="Z31" s="552">
        <f>'Data Input'!AF40</f>
        <v>15.3</v>
      </c>
      <c r="AA31" s="552">
        <f>'Data Input'!AG40</f>
        <v>15.3</v>
      </c>
    </row>
    <row r="32" spans="1:27" x14ac:dyDescent="0.2">
      <c r="P32" s="202"/>
      <c r="Q32" s="202"/>
      <c r="S32" s="202"/>
      <c r="T32" s="202"/>
      <c r="U32" s="310"/>
      <c r="V32" s="310"/>
      <c r="W32" s="528"/>
      <c r="X32" s="549"/>
      <c r="Y32" s="549"/>
      <c r="Z32" s="549"/>
      <c r="AA32" s="550"/>
    </row>
    <row r="33" spans="1:29" x14ac:dyDescent="0.2">
      <c r="A33" s="2" t="s">
        <v>24</v>
      </c>
      <c r="D33" s="13" t="s">
        <v>39</v>
      </c>
      <c r="E33" s="13" t="s">
        <v>40</v>
      </c>
      <c r="F33" s="13" t="s">
        <v>41</v>
      </c>
      <c r="G33" s="13" t="s">
        <v>42</v>
      </c>
      <c r="H33" s="13" t="s">
        <v>43</v>
      </c>
      <c r="I33" s="13" t="s">
        <v>44</v>
      </c>
      <c r="J33" s="13" t="s">
        <v>45</v>
      </c>
      <c r="K33" s="13" t="s">
        <v>168</v>
      </c>
      <c r="L33" s="124" t="s">
        <v>169</v>
      </c>
      <c r="M33" s="124" t="s">
        <v>170</v>
      </c>
      <c r="N33" s="124" t="s">
        <v>171</v>
      </c>
      <c r="O33" s="124" t="s">
        <v>172</v>
      </c>
      <c r="P33" s="206" t="s">
        <v>173</v>
      </c>
      <c r="Q33" s="206" t="s">
        <v>174</v>
      </c>
      <c r="R33" s="124" t="s">
        <v>175</v>
      </c>
      <c r="S33" s="206" t="s">
        <v>176</v>
      </c>
      <c r="T33" s="206" t="s">
        <v>177</v>
      </c>
      <c r="U33" s="124" t="s">
        <v>178</v>
      </c>
      <c r="V33" s="124" t="s">
        <v>294</v>
      </c>
      <c r="W33" s="486" t="s">
        <v>294</v>
      </c>
      <c r="X33" s="327" t="s">
        <v>294</v>
      </c>
      <c r="Y33" s="327" t="s">
        <v>294</v>
      </c>
      <c r="Z33" s="327" t="s">
        <v>294</v>
      </c>
      <c r="AA33" s="337" t="s">
        <v>294</v>
      </c>
    </row>
    <row r="34" spans="1:29" x14ac:dyDescent="0.2">
      <c r="A34" s="3" t="s">
        <v>19</v>
      </c>
      <c r="B34" t="s">
        <v>326</v>
      </c>
      <c r="D34" s="115"/>
      <c r="E34" s="115"/>
      <c r="F34" s="115"/>
      <c r="G34" s="115"/>
      <c r="H34" s="115"/>
      <c r="I34" s="115"/>
      <c r="J34" s="115"/>
      <c r="K34" s="115">
        <v>2</v>
      </c>
      <c r="L34" s="119">
        <v>1.7209587799999999</v>
      </c>
      <c r="M34" s="156">
        <v>1.2749999999999999</v>
      </c>
      <c r="N34" s="119">
        <v>1.9167769100000001</v>
      </c>
      <c r="O34" s="119">
        <v>0.75204199999999999</v>
      </c>
      <c r="P34" s="200">
        <v>2.5734319999999999</v>
      </c>
      <c r="Q34" s="296">
        <v>1.5433056599999999</v>
      </c>
      <c r="R34" s="119">
        <v>2.1390500000000001</v>
      </c>
      <c r="S34" s="200">
        <v>2.3824589999999999</v>
      </c>
      <c r="T34" s="121">
        <v>2.4652271099999998</v>
      </c>
      <c r="U34" s="121">
        <v>5.4058700000000002</v>
      </c>
      <c r="V34" s="121">
        <v>5.1298110000000001</v>
      </c>
      <c r="W34" s="484">
        <v>2.6689590000000001</v>
      </c>
      <c r="X34" s="313">
        <f t="shared" ref="X34:AA34" si="16">W34*(1+X$7)</f>
        <v>2.735682975</v>
      </c>
      <c r="Y34" s="313">
        <f t="shared" si="16"/>
        <v>2.8040750493749997</v>
      </c>
      <c r="Z34" s="313">
        <f t="shared" si="16"/>
        <v>2.8741769256093743</v>
      </c>
      <c r="AA34" s="335">
        <f t="shared" si="16"/>
        <v>2.9460313487496084</v>
      </c>
    </row>
    <row r="36" spans="1:29" x14ac:dyDescent="0.2">
      <c r="A36" s="116"/>
      <c r="C36" s="116"/>
      <c r="D36" s="116"/>
      <c r="E36" s="116"/>
      <c r="F36" s="116"/>
      <c r="G36" s="116"/>
      <c r="H36" s="116"/>
      <c r="I36" s="116"/>
      <c r="J36" s="116"/>
      <c r="K36" s="116"/>
    </row>
    <row r="37" spans="1:29" x14ac:dyDescent="0.2">
      <c r="Q37" s="310"/>
    </row>
    <row r="38" spans="1:29" x14ac:dyDescent="0.2">
      <c r="AC38" s="219"/>
    </row>
  </sheetData>
  <phoneticPr fontId="0" type="noConversion"/>
  <pageMargins left="0.75" right="0.75" top="1" bottom="1" header="0.5" footer="0.5"/>
  <pageSetup paperSize="5" orientation="landscape" r:id="rId1"/>
  <headerFooter alignWithMargins="0">
    <oddFooter>&amp;L&amp;"Arial,Bold"&amp;F&amp;C&amp;A&amp;R&amp;D  &amp;T</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32"/>
  <sheetViews>
    <sheetView workbookViewId="0">
      <pane xSplit="1" ySplit="4" topLeftCell="X21" activePane="bottomRight" state="frozen"/>
      <selection activeCell="AF39" sqref="AF39"/>
      <selection pane="topRight" activeCell="AF39" sqref="AF39"/>
      <selection pane="bottomLeft" activeCell="AF39" sqref="AF39"/>
      <selection pane="bottomRight" activeCell="AL42" sqref="AL42"/>
    </sheetView>
  </sheetViews>
  <sheetFormatPr baseColWidth="10" defaultColWidth="9.140625" defaultRowHeight="12.75" outlineLevelCol="1" x14ac:dyDescent="0.2"/>
  <cols>
    <col min="1" max="1" width="48.140625" customWidth="1"/>
    <col min="2" max="2" width="20.28515625" customWidth="1"/>
    <col min="3" max="4" width="10.85546875" hidden="1" customWidth="1"/>
    <col min="5" max="6" width="0" hidden="1" customWidth="1"/>
    <col min="17" max="26" width="9.140625" style="116"/>
    <col min="27" max="27" width="9.140625" style="116" customWidth="1"/>
    <col min="28" max="28" width="9.140625" style="471" customWidth="1"/>
    <col min="29" max="31" width="9.140625" style="76" hidden="1" customWidth="1" outlineLevel="1"/>
    <col min="32" max="32" width="9.140625" style="239" hidden="1" customWidth="1" outlineLevel="1"/>
    <col min="33" max="33" width="9.140625" collapsed="1"/>
  </cols>
  <sheetData>
    <row r="1" spans="1:32" ht="15.75" x14ac:dyDescent="0.25">
      <c r="A1" s="18" t="s">
        <v>67</v>
      </c>
      <c r="B1" s="18"/>
    </row>
    <row r="2" spans="1:32" ht="15.75" x14ac:dyDescent="0.25">
      <c r="A2" s="2" t="s">
        <v>68</v>
      </c>
      <c r="B2" s="18"/>
    </row>
    <row r="3" spans="1:32" x14ac:dyDescent="0.2">
      <c r="Z3" s="346" t="s">
        <v>178</v>
      </c>
      <c r="AA3" s="346" t="s">
        <v>294</v>
      </c>
      <c r="AB3" s="468" t="s">
        <v>309</v>
      </c>
      <c r="AC3" s="316" t="s">
        <v>315</v>
      </c>
      <c r="AD3" s="316" t="s">
        <v>316</v>
      </c>
      <c r="AE3" s="316" t="s">
        <v>317</v>
      </c>
      <c r="AF3" s="317" t="s">
        <v>318</v>
      </c>
    </row>
    <row r="4" spans="1:32" s="2" customFormat="1" ht="13.5" thickBot="1" x14ac:dyDescent="0.25">
      <c r="A4" s="19" t="s">
        <v>1</v>
      </c>
      <c r="B4" s="20" t="s">
        <v>26</v>
      </c>
      <c r="C4" s="20">
        <v>1990</v>
      </c>
      <c r="D4" s="20">
        <v>1991</v>
      </c>
      <c r="E4" s="20">
        <v>1992</v>
      </c>
      <c r="F4" s="20">
        <v>1993</v>
      </c>
      <c r="G4" s="20">
        <v>1994</v>
      </c>
      <c r="H4" s="20">
        <v>1995</v>
      </c>
      <c r="I4" s="20">
        <v>1996</v>
      </c>
      <c r="J4" s="20">
        <v>1997</v>
      </c>
      <c r="K4" s="20">
        <v>1998</v>
      </c>
      <c r="L4" s="20">
        <v>1999</v>
      </c>
      <c r="M4" s="20">
        <v>2000</v>
      </c>
      <c r="N4" s="20">
        <v>2001</v>
      </c>
      <c r="O4" s="20">
        <v>2002</v>
      </c>
      <c r="P4" s="20">
        <v>2003</v>
      </c>
      <c r="Q4" s="117">
        <v>2004</v>
      </c>
      <c r="R4" s="117">
        <v>2005</v>
      </c>
      <c r="S4" s="117">
        <v>2006</v>
      </c>
      <c r="T4" s="117">
        <v>2007</v>
      </c>
      <c r="U4" s="117">
        <v>2008</v>
      </c>
      <c r="V4" s="117">
        <v>2009</v>
      </c>
      <c r="W4" s="117">
        <v>2010</v>
      </c>
      <c r="X4" s="117">
        <v>2011</v>
      </c>
      <c r="Y4" s="117">
        <v>2012</v>
      </c>
      <c r="Z4" s="117">
        <v>2013</v>
      </c>
      <c r="AA4" s="117">
        <v>2014</v>
      </c>
      <c r="AB4" s="482">
        <v>2015</v>
      </c>
      <c r="AC4" s="77">
        <v>2016</v>
      </c>
      <c r="AD4" s="77">
        <v>2017</v>
      </c>
      <c r="AE4" s="77">
        <v>2018</v>
      </c>
      <c r="AF4" s="240">
        <v>2019</v>
      </c>
    </row>
    <row r="7" spans="1:32" x14ac:dyDescent="0.2">
      <c r="A7" s="28" t="s">
        <v>47</v>
      </c>
    </row>
    <row r="8" spans="1:32" s="3" customFormat="1" x14ac:dyDescent="0.2">
      <c r="A8" s="3" t="s">
        <v>48</v>
      </c>
      <c r="B8" s="3" t="s">
        <v>49</v>
      </c>
      <c r="C8" s="3">
        <f>'Data Input'!C12</f>
        <v>21912</v>
      </c>
      <c r="D8" s="3">
        <f>'Data Input'!D12</f>
        <v>24391</v>
      </c>
      <c r="E8" s="3">
        <f>'Data Input'!E12</f>
        <v>27479</v>
      </c>
      <c r="F8" s="3">
        <f>'Data Input'!F12</f>
        <v>30781</v>
      </c>
      <c r="G8" s="3">
        <f>'Data Input'!G12</f>
        <v>33998</v>
      </c>
      <c r="H8" s="3">
        <f>'Data Input'!H12</f>
        <v>36848</v>
      </c>
      <c r="I8" s="3">
        <f>'Data Input'!I12</f>
        <v>39007</v>
      </c>
      <c r="J8" s="3">
        <f>'Data Input'!J12</f>
        <v>41833</v>
      </c>
      <c r="K8" s="3">
        <f>'Data Input'!K12</f>
        <v>46470</v>
      </c>
      <c r="L8" s="3">
        <f>'Data Input'!L12</f>
        <v>48635</v>
      </c>
      <c r="M8" s="3">
        <f>'Data Input'!M12</f>
        <v>50346</v>
      </c>
      <c r="N8" s="3">
        <f>'Data Input'!N12</f>
        <v>55087</v>
      </c>
      <c r="O8" s="3">
        <f>'Data Input'!O12</f>
        <v>64369</v>
      </c>
      <c r="P8" s="3">
        <f>'Data Input'!P12</f>
        <v>67319</v>
      </c>
      <c r="Q8" s="122">
        <f>'Data Input'!Q12</f>
        <v>71009</v>
      </c>
      <c r="R8" s="122">
        <f>'Data Input'!R12</f>
        <v>74089</v>
      </c>
      <c r="S8" s="122">
        <f>'Data Input'!S12</f>
        <v>80371</v>
      </c>
      <c r="T8" s="122">
        <f>'Data Input'!T12</f>
        <v>83120</v>
      </c>
      <c r="U8" s="122">
        <f>'Data Input'!U12</f>
        <v>88356</v>
      </c>
      <c r="V8" s="122">
        <f>'Data Input'!V12</f>
        <v>92022</v>
      </c>
      <c r="W8" s="122">
        <f>'Data Input'!W12</f>
        <v>96608</v>
      </c>
      <c r="X8" s="122">
        <f>'Data Input'!X12</f>
        <v>99117</v>
      </c>
      <c r="Y8" s="122">
        <f>'Data Input'!Y12</f>
        <v>103693</v>
      </c>
      <c r="Z8" s="122">
        <f>'Data Input'!Z12</f>
        <v>105954</v>
      </c>
      <c r="AA8" s="122">
        <f>'Data Input'!AA12</f>
        <v>109524</v>
      </c>
      <c r="AB8" s="488">
        <f>'Data Input'!AB12</f>
        <v>113801</v>
      </c>
      <c r="AC8" s="79">
        <f>'Data Input'!AC12</f>
        <v>116367</v>
      </c>
      <c r="AD8" s="79">
        <f>'Data Input'!AD12</f>
        <v>120891.15773981952</v>
      </c>
      <c r="AE8" s="79">
        <f>'Data Input'!AE12</f>
        <v>125674.54587496544</v>
      </c>
      <c r="AF8" s="241">
        <f>'Data Input'!AF12</f>
        <v>130724.77615093655</v>
      </c>
    </row>
    <row r="9" spans="1:32" s="3" customFormat="1" x14ac:dyDescent="0.2">
      <c r="A9" s="3" t="s">
        <v>51</v>
      </c>
      <c r="B9" s="3" t="s">
        <v>57</v>
      </c>
      <c r="C9" s="3">
        <f>'Data Input'!D14/2</f>
        <v>465</v>
      </c>
      <c r="D9" s="3">
        <f>'Data Input'!E14/2</f>
        <v>590</v>
      </c>
      <c r="E9" s="3">
        <f>'Data Input'!F14/2</f>
        <v>594</v>
      </c>
      <c r="F9" s="3">
        <f>'Data Input'!G14/2</f>
        <v>585</v>
      </c>
      <c r="G9" s="3">
        <f>'Data Input'!H14/2</f>
        <v>646</v>
      </c>
      <c r="H9" s="3">
        <f>'Data Input'!I14/2</f>
        <v>681.5</v>
      </c>
      <c r="I9" s="3">
        <f>'Data Input'!J14/2</f>
        <v>668.5</v>
      </c>
      <c r="J9" s="3">
        <f>'Data Input'!K14/2</f>
        <v>602</v>
      </c>
      <c r="K9" s="3">
        <f>'Data Input'!L14/2</f>
        <v>652.5</v>
      </c>
      <c r="L9" s="3">
        <f>'Data Input'!M14/2</f>
        <v>650.5</v>
      </c>
      <c r="M9" s="3">
        <f>'Data Input'!N14/2</f>
        <v>650</v>
      </c>
      <c r="N9" s="3">
        <f>'Data Input'!O14/2</f>
        <v>769.5</v>
      </c>
      <c r="O9" s="3">
        <f>'Data Input'!P14/2</f>
        <v>847.5</v>
      </c>
      <c r="P9" s="3">
        <f>'Data Input'!Q14/2</f>
        <v>867.5</v>
      </c>
      <c r="Q9" s="122">
        <f>'Data Input'!R14/2</f>
        <v>878</v>
      </c>
      <c r="R9" s="122">
        <f>'Data Input'!S14/2</f>
        <v>954.5</v>
      </c>
      <c r="S9" s="122">
        <f>'Data Input'!T14/2</f>
        <v>997.5</v>
      </c>
      <c r="T9" s="122">
        <f>'Data Input'!U14/2</f>
        <v>1051</v>
      </c>
      <c r="U9" s="122">
        <f>'Data Input'!V14/2</f>
        <v>1118</v>
      </c>
      <c r="V9" s="122">
        <f>'Data Input'!W14/2</f>
        <v>1174.5</v>
      </c>
      <c r="W9" s="122">
        <f>'Data Input'!X14/2</f>
        <v>1217</v>
      </c>
      <c r="X9" s="122">
        <f>'Data Input'!Y14/2</f>
        <v>1282.5</v>
      </c>
      <c r="Y9" s="122">
        <f>'Data Input'!Z14/2</f>
        <v>1395.5</v>
      </c>
      <c r="Z9" s="122">
        <f>'Data Input'!AA14/2</f>
        <v>1327</v>
      </c>
      <c r="AA9" s="122">
        <f>'Data Input'!AB14/2</f>
        <v>1462</v>
      </c>
      <c r="AB9" s="488">
        <f>'Data Input'!AC14/2</f>
        <v>1451</v>
      </c>
      <c r="AC9" s="79">
        <f>'Data Input'!AD14/2</f>
        <v>1511.796875</v>
      </c>
      <c r="AD9" s="79">
        <f>'Data Input'!AE14/2</f>
        <v>1631.0513452148434</v>
      </c>
      <c r="AE9" s="79">
        <f>'Data Input'!AF14/2</f>
        <v>1750.202044587707</v>
      </c>
      <c r="AF9" s="241">
        <f>'Data Input'!AG14/2</f>
        <v>1878.0037412594415</v>
      </c>
    </row>
    <row r="10" spans="1:32" s="122" customFormat="1" x14ac:dyDescent="0.2">
      <c r="A10" s="122" t="s">
        <v>340</v>
      </c>
      <c r="S10" s="122">
        <f>'Data Input'!T15/2</f>
        <v>8.5</v>
      </c>
      <c r="T10" s="122">
        <f>'Data Input'!U15/2</f>
        <v>9.5</v>
      </c>
      <c r="U10" s="122">
        <f>'Data Input'!V15/2</f>
        <v>8.5</v>
      </c>
      <c r="V10" s="122">
        <f>'Data Input'!W15/2</f>
        <v>6.5</v>
      </c>
      <c r="W10" s="122">
        <f>'Data Input'!X15/2</f>
        <v>5.5</v>
      </c>
      <c r="X10" s="122">
        <f>'Data Input'!Y15/2</f>
        <v>7.5</v>
      </c>
      <c r="Y10" s="122">
        <f>'Data Input'!Z15/2</f>
        <v>6.5</v>
      </c>
      <c r="Z10" s="122">
        <f>'Data Input'!AA15/2</f>
        <v>6.5</v>
      </c>
      <c r="AA10" s="122">
        <f>'Data Input'!AB15/2</f>
        <v>6.5</v>
      </c>
      <c r="AB10" s="488">
        <f>'Data Input'!AC15/2</f>
        <v>7</v>
      </c>
      <c r="AC10" s="79">
        <f>'Data Input'!AD15/2</f>
        <v>6.5</v>
      </c>
      <c r="AD10" s="79">
        <f>'Data Input'!AE15/2</f>
        <v>6.5</v>
      </c>
      <c r="AE10" s="79">
        <f>'Data Input'!AF15/2</f>
        <v>6.5</v>
      </c>
      <c r="AF10" s="241">
        <f>'Data Input'!AG15/2</f>
        <v>6.5</v>
      </c>
    </row>
    <row r="11" spans="1:32" s="3" customFormat="1" x14ac:dyDescent="0.2">
      <c r="A11" s="3" t="s">
        <v>52</v>
      </c>
      <c r="B11" s="3" t="s">
        <v>57</v>
      </c>
      <c r="C11" s="3">
        <f>'Data Input'!D16/2</f>
        <v>0</v>
      </c>
      <c r="D11" s="3">
        <f>'Data Input'!E16/2</f>
        <v>0</v>
      </c>
      <c r="E11" s="3">
        <f>'Data Input'!F16/2</f>
        <v>0</v>
      </c>
      <c r="F11" s="3">
        <f>'Data Input'!G16/2</f>
        <v>0</v>
      </c>
      <c r="G11" s="3">
        <f>'Data Input'!H16/2</f>
        <v>0</v>
      </c>
      <c r="H11" s="3">
        <f>'Data Input'!I16/2</f>
        <v>0</v>
      </c>
      <c r="I11" s="3">
        <f>'Data Input'!J16/2</f>
        <v>129</v>
      </c>
      <c r="J11" s="3">
        <f>'Data Input'!K16/2</f>
        <v>1006.5</v>
      </c>
      <c r="K11" s="3">
        <f>'Data Input'!L17/2</f>
        <v>190</v>
      </c>
      <c r="L11" s="3">
        <f>'Data Input'!M16/2</f>
        <v>0</v>
      </c>
      <c r="M11" s="3">
        <f>'Data Input'!N16/2</f>
        <v>0</v>
      </c>
      <c r="N11" s="3">
        <f>'Data Input'!O16/2</f>
        <v>2259.5</v>
      </c>
      <c r="O11" s="3">
        <f>'Data Input'!P16/2</f>
        <v>0</v>
      </c>
      <c r="P11" s="3">
        <f>'Data Input'!Q16/2</f>
        <v>0</v>
      </c>
      <c r="Q11" s="122">
        <f>'Data Input'!R16/2</f>
        <v>0</v>
      </c>
      <c r="R11" s="122">
        <f>'Data Input'!S16/2</f>
        <v>0</v>
      </c>
      <c r="S11" s="122">
        <f>'Data Input'!T16/2</f>
        <v>0</v>
      </c>
      <c r="T11" s="122">
        <f>'Data Input'!U16/2</f>
        <v>0</v>
      </c>
      <c r="U11" s="122">
        <f>'Data Input'!V16/2</f>
        <v>0</v>
      </c>
      <c r="V11" s="122">
        <f>'Data Input'!W16/2</f>
        <v>0</v>
      </c>
      <c r="W11" s="122">
        <f>'Data Input'!X16/2</f>
        <v>0</v>
      </c>
      <c r="X11" s="122">
        <f>'Data Input'!Y16/2</f>
        <v>0</v>
      </c>
      <c r="Y11" s="122">
        <f>'Data Input'!Z16/2</f>
        <v>0</v>
      </c>
      <c r="Z11" s="122">
        <f>'Data Input'!AA16/2</f>
        <v>0</v>
      </c>
      <c r="AA11" s="122">
        <f>'Data Input'!AB16/2</f>
        <v>0</v>
      </c>
      <c r="AB11" s="488">
        <f>'Data Input'!AC16/2</f>
        <v>0</v>
      </c>
      <c r="AC11" s="79">
        <f>'Data Input'!AD16/2</f>
        <v>0</v>
      </c>
      <c r="AD11" s="79">
        <f>'Data Input'!AE16/2</f>
        <v>0</v>
      </c>
      <c r="AE11" s="79">
        <f>'Data Input'!AF16/2</f>
        <v>0</v>
      </c>
      <c r="AF11" s="241">
        <f>'Data Input'!AG16/2</f>
        <v>0</v>
      </c>
    </row>
    <row r="12" spans="1:32" s="3" customFormat="1" x14ac:dyDescent="0.2">
      <c r="A12" s="3" t="s">
        <v>53</v>
      </c>
      <c r="B12" s="3" t="s">
        <v>57</v>
      </c>
      <c r="C12" s="6">
        <f>'Data Input'!D18/2</f>
        <v>-380</v>
      </c>
      <c r="D12" s="6">
        <f>'Data Input'!E18/2</f>
        <v>-414.5</v>
      </c>
      <c r="E12" s="6">
        <f>'Data Input'!F18/2</f>
        <v>-460.5</v>
      </c>
      <c r="F12" s="6">
        <f>'Data Input'!G18/2</f>
        <v>-500.5</v>
      </c>
      <c r="G12" s="6">
        <f>'Data Input'!H18/2</f>
        <v>-565</v>
      </c>
      <c r="H12" s="6">
        <f>'Data Input'!I18/2</f>
        <v>-630.5</v>
      </c>
      <c r="I12" s="6">
        <f>'Data Input'!J18/2</f>
        <v>-760</v>
      </c>
      <c r="J12" s="6">
        <f>'Data Input'!K18/2</f>
        <v>-901</v>
      </c>
      <c r="K12" s="6">
        <f>'Data Input'!L18/2</f>
        <v>-1051.5</v>
      </c>
      <c r="L12" s="6">
        <f>'Data Input'!M18/2</f>
        <v>-1139</v>
      </c>
      <c r="M12" s="6">
        <f>'Data Input'!N18/2</f>
        <v>-1270.5</v>
      </c>
      <c r="N12" s="6">
        <f>'Data Input'!O18/2</f>
        <v>-1540</v>
      </c>
      <c r="O12" s="6">
        <f>'Data Input'!P18/2</f>
        <v>-1538</v>
      </c>
      <c r="P12" s="6">
        <f>'Data Input'!Q18/2</f>
        <v>-1599.5</v>
      </c>
      <c r="Q12" s="126">
        <f>'Data Input'!R18/2</f>
        <v>-1714</v>
      </c>
      <c r="R12" s="126">
        <f>'Data Input'!S18/2</f>
        <v>-1810</v>
      </c>
      <c r="S12" s="126">
        <f>'Data Input'!T18/2</f>
        <v>-1909</v>
      </c>
      <c r="T12" s="126">
        <f>'Data Input'!U18/2</f>
        <v>-2010</v>
      </c>
      <c r="U12" s="126">
        <f>'Data Input'!V18/2</f>
        <v>-2097</v>
      </c>
      <c r="V12" s="126">
        <f>'Data Input'!W18/2</f>
        <v>-2196</v>
      </c>
      <c r="W12" s="126">
        <f>'Data Input'!X18/2</f>
        <v>-2250</v>
      </c>
      <c r="X12" s="126">
        <f>'Data Input'!Y18/2</f>
        <v>-2331.5</v>
      </c>
      <c r="Y12" s="126">
        <f>'Data Input'!Z18/2</f>
        <v>-2462</v>
      </c>
      <c r="Z12" s="126">
        <f>'Data Input'!AA18/2</f>
        <v>-2575</v>
      </c>
      <c r="AA12" s="126">
        <f>'Data Input'!AB18/2</f>
        <v>-2653</v>
      </c>
      <c r="AB12" s="489">
        <f>'Data Input'!AC18/2</f>
        <v>-2768</v>
      </c>
      <c r="AC12" s="81">
        <f>'Data Input'!AD18/2</f>
        <v>-2847.3898800902357</v>
      </c>
      <c r="AD12" s="81">
        <f>'Data Input'!AE18/2</f>
        <v>-2974.2801586714045</v>
      </c>
      <c r="AE12" s="81">
        <f>'Data Input'!AF18/2</f>
        <v>-3105.880039601253</v>
      </c>
      <c r="AF12" s="242">
        <f>'Data Input'!AG18/2</f>
        <v>-3241.89041757724</v>
      </c>
    </row>
    <row r="13" spans="1:32" s="8" customFormat="1" x14ac:dyDescent="0.2">
      <c r="A13" s="8" t="s">
        <v>54</v>
      </c>
      <c r="B13" s="8" t="s">
        <v>31</v>
      </c>
      <c r="C13" s="8">
        <f>SUM(C8:C12)</f>
        <v>21997</v>
      </c>
      <c r="D13" s="8">
        <f>SUM(D8:D12)</f>
        <v>24566.5</v>
      </c>
      <c r="E13" s="8">
        <f t="shared" ref="E13:R13" si="0">SUM(E8:E12)</f>
        <v>27612.5</v>
      </c>
      <c r="F13" s="8">
        <f t="shared" si="0"/>
        <v>30865.5</v>
      </c>
      <c r="G13" s="8">
        <f t="shared" si="0"/>
        <v>34079</v>
      </c>
      <c r="H13" s="8">
        <f t="shared" si="0"/>
        <v>36899</v>
      </c>
      <c r="I13" s="8">
        <f t="shared" si="0"/>
        <v>39044.5</v>
      </c>
      <c r="J13" s="8">
        <f t="shared" si="0"/>
        <v>42540.5</v>
      </c>
      <c r="K13" s="8">
        <f t="shared" si="0"/>
        <v>46261</v>
      </c>
      <c r="L13" s="8">
        <f t="shared" si="0"/>
        <v>48146.5</v>
      </c>
      <c r="M13" s="8">
        <f t="shared" si="0"/>
        <v>49725.5</v>
      </c>
      <c r="N13" s="8">
        <f t="shared" si="0"/>
        <v>56576</v>
      </c>
      <c r="O13" s="8">
        <f t="shared" si="0"/>
        <v>63678.5</v>
      </c>
      <c r="P13" s="8">
        <f t="shared" si="0"/>
        <v>66587</v>
      </c>
      <c r="Q13" s="120">
        <f t="shared" si="0"/>
        <v>70173</v>
      </c>
      <c r="R13" s="120">
        <f t="shared" si="0"/>
        <v>73233.5</v>
      </c>
      <c r="S13" s="120">
        <f t="shared" ref="S13:AD13" si="1">SUM(S8:S12)</f>
        <v>79468</v>
      </c>
      <c r="T13" s="120">
        <f t="shared" si="1"/>
        <v>82170.5</v>
      </c>
      <c r="U13" s="120">
        <f t="shared" si="1"/>
        <v>87385.5</v>
      </c>
      <c r="V13" s="120">
        <f t="shared" si="1"/>
        <v>91007</v>
      </c>
      <c r="W13" s="120">
        <f t="shared" si="1"/>
        <v>95580.5</v>
      </c>
      <c r="X13" s="120">
        <f t="shared" si="1"/>
        <v>98075.5</v>
      </c>
      <c r="Y13" s="120">
        <f t="shared" si="1"/>
        <v>102633</v>
      </c>
      <c r="Z13" s="120">
        <f t="shared" si="1"/>
        <v>104712.5</v>
      </c>
      <c r="AA13" s="120">
        <f t="shared" si="1"/>
        <v>108339.5</v>
      </c>
      <c r="AB13" s="485">
        <f t="shared" si="1"/>
        <v>112491</v>
      </c>
      <c r="AC13" s="78">
        <f t="shared" si="1"/>
        <v>115037.90699490976</v>
      </c>
      <c r="AD13" s="78">
        <f t="shared" si="1"/>
        <v>119554.42892636296</v>
      </c>
      <c r="AE13" s="78">
        <f>SUM(AE8:AE12)</f>
        <v>124325.3678799519</v>
      </c>
      <c r="AF13" s="243">
        <f>SUM(AF8:AF12)</f>
        <v>129367.38947461877</v>
      </c>
    </row>
    <row r="14" spans="1:32" s="1" customFormat="1" x14ac:dyDescent="0.2">
      <c r="A14" s="1" t="s">
        <v>55</v>
      </c>
      <c r="B14" s="1" t="s">
        <v>49</v>
      </c>
      <c r="C14" s="4">
        <f>'Data Input'!D6</f>
        <v>0.105</v>
      </c>
      <c r="D14" s="4">
        <f>'Data Input'!E6</f>
        <v>0.10249999999999999</v>
      </c>
      <c r="E14" s="4">
        <f>'Data Input'!F6</f>
        <v>9.5000000000000001E-2</v>
      </c>
      <c r="F14" s="4">
        <f>'Data Input'!G6</f>
        <v>8.7499999999999994E-2</v>
      </c>
      <c r="G14" s="4">
        <f>'Data Input'!H6</f>
        <v>8.7499999999999994E-2</v>
      </c>
      <c r="H14" s="4">
        <f>'Data Input'!I6</f>
        <v>8.2500000000000004E-2</v>
      </c>
      <c r="I14" s="4">
        <f>'Data Input'!J6</f>
        <v>8.2500000000000004E-2</v>
      </c>
      <c r="J14" s="4">
        <f>'Data Input'!K6</f>
        <v>7.7499999999999999E-2</v>
      </c>
      <c r="K14" s="4">
        <f>'Data Input'!L6</f>
        <v>7.2499999999999995E-2</v>
      </c>
      <c r="L14" s="4">
        <f>'Data Input'!M6</f>
        <v>7.2499999999999995E-2</v>
      </c>
      <c r="M14" s="4">
        <f>'Data Input'!N6</f>
        <v>7.0000000000000007E-2</v>
      </c>
      <c r="N14" s="4">
        <f>'Data Input'!O6</f>
        <v>7.0000000000000007E-2</v>
      </c>
      <c r="O14" s="4">
        <f>'Data Input'!P6</f>
        <v>7.0000000000000007E-2</v>
      </c>
      <c r="P14" s="4">
        <f>'Data Input'!Q6</f>
        <v>7.0000000000000007E-2</v>
      </c>
      <c r="Q14" s="129">
        <f>'Data Input'!R6</f>
        <v>7.0000000000000007E-2</v>
      </c>
      <c r="R14" s="413">
        <f>'Data Input'!S6</f>
        <v>7.0000000000000007E-2</v>
      </c>
      <c r="S14" s="413">
        <f>'Data Input'!T6</f>
        <v>6.7500000000000004E-2</v>
      </c>
      <c r="T14" s="129">
        <f>'Data Input'!U6</f>
        <v>6.7500000000000004E-2</v>
      </c>
      <c r="U14" s="129">
        <f>'Data Input'!V6</f>
        <v>6.7500000000000004E-2</v>
      </c>
      <c r="V14" s="129">
        <f>'Data Input'!W6</f>
        <v>6.7500000000000004E-2</v>
      </c>
      <c r="W14" s="129">
        <f>'Data Input'!X6</f>
        <v>6.7500000000000004E-2</v>
      </c>
      <c r="X14" s="129">
        <f>'Data Input'!Y6</f>
        <v>6.7500000000000004E-2</v>
      </c>
      <c r="Y14" s="129">
        <f>'Data Input'!Z6</f>
        <v>6.7500000000000004E-2</v>
      </c>
      <c r="Z14" s="129">
        <f>'Data Input'!AA6</f>
        <v>6.7500000000000004E-2</v>
      </c>
      <c r="AA14" s="129">
        <f>'Data Input'!AB6</f>
        <v>6.7500000000000004E-2</v>
      </c>
      <c r="AB14" s="490">
        <f>'Data Input'!AC6</f>
        <v>6.5000000000000002E-2</v>
      </c>
      <c r="AC14" s="82">
        <f>'Data Input'!AD6</f>
        <v>6.25E-2</v>
      </c>
      <c r="AD14" s="82">
        <f>'Data Input'!AE6</f>
        <v>6.25E-2</v>
      </c>
      <c r="AE14" s="82">
        <f>'Data Input'!AF6</f>
        <v>6.25E-2</v>
      </c>
      <c r="AF14" s="244">
        <f>'Data Input'!AG6</f>
        <v>6.25E-2</v>
      </c>
    </row>
    <row r="15" spans="1:32" s="25" customFormat="1" x14ac:dyDescent="0.2">
      <c r="A15" s="25" t="s">
        <v>56</v>
      </c>
      <c r="B15" s="8" t="s">
        <v>31</v>
      </c>
      <c r="C15" s="26">
        <f>C13*C14</f>
        <v>2309.6849999999999</v>
      </c>
      <c r="D15" s="26">
        <f>D13*D14</f>
        <v>2518.0662499999999</v>
      </c>
      <c r="E15" s="26">
        <f t="shared" ref="E15:R15" si="2">E13*E14</f>
        <v>2623.1875</v>
      </c>
      <c r="F15" s="26">
        <f t="shared" si="2"/>
        <v>2700.7312499999998</v>
      </c>
      <c r="G15" s="26">
        <f t="shared" si="2"/>
        <v>2981.9124999999999</v>
      </c>
      <c r="H15" s="26">
        <f t="shared" si="2"/>
        <v>3044.1675</v>
      </c>
      <c r="I15" s="26">
        <f t="shared" si="2"/>
        <v>3221.1712500000003</v>
      </c>
      <c r="J15" s="26">
        <f t="shared" si="2"/>
        <v>3296.8887500000001</v>
      </c>
      <c r="K15" s="26">
        <f t="shared" si="2"/>
        <v>3353.9224999999997</v>
      </c>
      <c r="L15" s="26">
        <f t="shared" si="2"/>
        <v>3490.6212499999997</v>
      </c>
      <c r="M15" s="26">
        <f t="shared" si="2"/>
        <v>3480.7850000000003</v>
      </c>
      <c r="N15" s="26">
        <f>ROUNDDOWN(N13*N14,0)</f>
        <v>3960</v>
      </c>
      <c r="O15" s="26">
        <f t="shared" si="2"/>
        <v>4457.4950000000008</v>
      </c>
      <c r="P15" s="26">
        <f t="shared" si="2"/>
        <v>4661.09</v>
      </c>
      <c r="Q15" s="130">
        <f t="shared" si="2"/>
        <v>4912.1100000000006</v>
      </c>
      <c r="R15" s="130">
        <f t="shared" si="2"/>
        <v>5126.3450000000003</v>
      </c>
      <c r="S15" s="130">
        <f t="shared" ref="S15:AD15" si="3">S13*S14</f>
        <v>5364.09</v>
      </c>
      <c r="T15" s="130">
        <f t="shared" si="3"/>
        <v>5546.50875</v>
      </c>
      <c r="U15" s="130">
        <f t="shared" si="3"/>
        <v>5898.5212500000007</v>
      </c>
      <c r="V15" s="130">
        <f t="shared" si="3"/>
        <v>6142.9725000000008</v>
      </c>
      <c r="W15" s="130">
        <f t="shared" si="3"/>
        <v>6451.6837500000001</v>
      </c>
      <c r="X15" s="130">
        <f t="shared" si="3"/>
        <v>6620.0962500000005</v>
      </c>
      <c r="Y15" s="130">
        <f t="shared" si="3"/>
        <v>6927.7275000000009</v>
      </c>
      <c r="Z15" s="130">
        <f t="shared" si="3"/>
        <v>7068.0937500000009</v>
      </c>
      <c r="AA15" s="130">
        <f t="shared" si="3"/>
        <v>7312.9162500000002</v>
      </c>
      <c r="AB15" s="491">
        <f t="shared" si="3"/>
        <v>7311.915</v>
      </c>
      <c r="AC15" s="83">
        <f t="shared" si="3"/>
        <v>7189.8691871818601</v>
      </c>
      <c r="AD15" s="83">
        <f t="shared" si="3"/>
        <v>7472.1518078976851</v>
      </c>
      <c r="AE15" s="83">
        <f>AE13*AE14</f>
        <v>7770.3354924969935</v>
      </c>
      <c r="AF15" s="245">
        <f>AF13*AF14</f>
        <v>8085.4618421636733</v>
      </c>
    </row>
    <row r="17" spans="1:32" x14ac:dyDescent="0.2">
      <c r="A17" s="28" t="s">
        <v>58</v>
      </c>
    </row>
    <row r="18" spans="1:32" s="3" customFormat="1" x14ac:dyDescent="0.2">
      <c r="A18" s="3" t="s">
        <v>296</v>
      </c>
      <c r="B18" s="3" t="s">
        <v>49</v>
      </c>
      <c r="C18" s="3">
        <f>'Data Input'!C28</f>
        <v>18540</v>
      </c>
      <c r="D18" s="3">
        <f>'Data Input'!D28</f>
        <v>20124</v>
      </c>
      <c r="E18" s="3">
        <f>'Data Input'!E28</f>
        <v>24697</v>
      </c>
      <c r="F18" s="3">
        <f>'Data Input'!F28</f>
        <v>27773</v>
      </c>
      <c r="G18" s="3">
        <f>'Data Input'!G28</f>
        <v>33711</v>
      </c>
      <c r="H18" s="3">
        <f>'Data Input'!H28</f>
        <v>34242</v>
      </c>
      <c r="I18" s="3">
        <f>'Data Input'!I28</f>
        <v>38092</v>
      </c>
      <c r="J18" s="3">
        <f>'Data Input'!J28</f>
        <v>43013</v>
      </c>
      <c r="K18" s="3">
        <f>'Data Input'!K28</f>
        <v>48901</v>
      </c>
      <c r="L18" s="3">
        <f>'Data Input'!L28</f>
        <v>54382</v>
      </c>
      <c r="M18" s="3">
        <f>'Data Input'!M28</f>
        <v>61039</v>
      </c>
      <c r="N18" s="3">
        <f>'Data Input'!N28</f>
        <v>68780</v>
      </c>
      <c r="O18" s="3">
        <f>'Data Input'!O28</f>
        <v>72429</v>
      </c>
      <c r="P18" s="3">
        <f>'Data Input'!P28</f>
        <v>75857</v>
      </c>
      <c r="Q18" s="122">
        <f>'Data Input'!Q28</f>
        <v>79157</v>
      </c>
      <c r="R18" s="122">
        <f>'Data Input'!R28</f>
        <v>82791</v>
      </c>
      <c r="S18" s="122">
        <f>'Data Input'!S28</f>
        <v>88694</v>
      </c>
      <c r="T18" s="122">
        <f>'Data Input'!T28</f>
        <v>94850</v>
      </c>
      <c r="U18" s="122">
        <f>'Data Input'!U28</f>
        <v>104917</v>
      </c>
      <c r="V18" s="122">
        <f>'Data Input'!V28</f>
        <v>106957</v>
      </c>
      <c r="W18" s="122">
        <f>'Data Input'!W28</f>
        <v>109112</v>
      </c>
      <c r="X18" s="122">
        <f>'Data Input'!X28</f>
        <v>114246</v>
      </c>
      <c r="Y18" s="122">
        <f>'Data Input'!Y28</f>
        <v>115685</v>
      </c>
      <c r="Z18" s="122">
        <f>'Data Input'!Z28</f>
        <v>119864</v>
      </c>
      <c r="AA18" s="122">
        <f>'Data Input'!AA28</f>
        <v>130867</v>
      </c>
      <c r="AB18" s="488">
        <f>'Data Input'!AB28</f>
        <v>143076</v>
      </c>
      <c r="AC18" s="79">
        <f>'Data Input'!AC28</f>
        <v>156978</v>
      </c>
      <c r="AD18" s="79">
        <f>'Data Input'!AD28</f>
        <v>170805.87488462828</v>
      </c>
      <c r="AE18" s="79">
        <f>'Data Input'!AE28</f>
        <v>183733.14824921408</v>
      </c>
      <c r="AF18" s="241">
        <f>'Data Input'!AF28</f>
        <v>196139.25039928145</v>
      </c>
    </row>
    <row r="19" spans="1:32" s="3" customFormat="1" x14ac:dyDescent="0.2">
      <c r="A19" s="3" t="s">
        <v>64</v>
      </c>
      <c r="C19" s="23" t="s">
        <v>12</v>
      </c>
      <c r="D19" s="23" t="s">
        <v>12</v>
      </c>
      <c r="E19" s="23" t="s">
        <v>12</v>
      </c>
      <c r="F19" s="23" t="s">
        <v>12</v>
      </c>
      <c r="G19" s="23">
        <v>-1474</v>
      </c>
      <c r="H19" s="23" t="s">
        <v>12</v>
      </c>
      <c r="I19" s="23" t="s">
        <v>12</v>
      </c>
      <c r="J19" s="23" t="s">
        <v>12</v>
      </c>
      <c r="K19" s="23" t="s">
        <v>12</v>
      </c>
      <c r="L19" s="23" t="s">
        <v>12</v>
      </c>
      <c r="M19" s="23" t="s">
        <v>12</v>
      </c>
      <c r="N19" s="23" t="s">
        <v>12</v>
      </c>
      <c r="O19" s="23" t="s">
        <v>12</v>
      </c>
      <c r="P19" s="23" t="s">
        <v>12</v>
      </c>
      <c r="Q19" s="131" t="s">
        <v>12</v>
      </c>
      <c r="R19" s="131" t="s">
        <v>12</v>
      </c>
      <c r="S19" s="131" t="s">
        <v>12</v>
      </c>
      <c r="T19" s="131" t="s">
        <v>12</v>
      </c>
      <c r="U19" s="131" t="s">
        <v>12</v>
      </c>
      <c r="V19" s="131" t="s">
        <v>12</v>
      </c>
      <c r="W19" s="131" t="s">
        <v>12</v>
      </c>
      <c r="X19" s="131" t="s">
        <v>12</v>
      </c>
      <c r="Y19" s="131" t="s">
        <v>12</v>
      </c>
      <c r="Z19" s="131" t="s">
        <v>12</v>
      </c>
      <c r="AA19" s="131" t="s">
        <v>12</v>
      </c>
      <c r="AB19" s="492" t="s">
        <v>12</v>
      </c>
      <c r="AC19" s="84" t="s">
        <v>12</v>
      </c>
      <c r="AD19" s="84" t="s">
        <v>12</v>
      </c>
      <c r="AE19" s="84" t="s">
        <v>12</v>
      </c>
      <c r="AF19" s="246" t="s">
        <v>12</v>
      </c>
    </row>
    <row r="20" spans="1:32" s="3" customFormat="1" x14ac:dyDescent="0.2">
      <c r="A20" s="3" t="s">
        <v>59</v>
      </c>
      <c r="B20" s="3" t="s">
        <v>57</v>
      </c>
      <c r="C20" s="3">
        <f>'Data Input'!D38/2</f>
        <v>650</v>
      </c>
      <c r="D20" s="3">
        <f>'Data Input'!E38/2</f>
        <v>765</v>
      </c>
      <c r="E20" s="3">
        <f>'Data Input'!F38/2</f>
        <v>944.5</v>
      </c>
      <c r="F20" s="3">
        <f>'Data Input'!G38/2</f>
        <v>700.5</v>
      </c>
      <c r="G20" s="3">
        <f>'Data Input'!H38/2</f>
        <v>718</v>
      </c>
      <c r="H20" s="3">
        <f>'Data Input'!I38/2</f>
        <v>652.5</v>
      </c>
      <c r="I20" s="3">
        <f>'Data Input'!J38/2</f>
        <v>722.5</v>
      </c>
      <c r="J20" s="3">
        <f>'Data Input'!K38/2</f>
        <v>848</v>
      </c>
      <c r="K20" s="3">
        <f>'Data Input'!L38/2</f>
        <v>878.5</v>
      </c>
      <c r="L20" s="3">
        <f>'Data Input'!M38/2</f>
        <v>706.5</v>
      </c>
      <c r="M20" s="3">
        <f>'Data Input'!N38/2</f>
        <v>640.5</v>
      </c>
      <c r="N20" s="3">
        <f>'Data Input'!O38/2</f>
        <v>656</v>
      </c>
      <c r="O20" s="3">
        <f>'Data Input'!P38/2</f>
        <v>691.5</v>
      </c>
      <c r="P20" s="3">
        <f>'Data Input'!Q38/2</f>
        <v>717.5</v>
      </c>
      <c r="Q20" s="122">
        <f>'Data Input'!R38/2</f>
        <v>747.5</v>
      </c>
      <c r="R20" s="122">
        <f>'Data Input'!S38/2</f>
        <v>787.5</v>
      </c>
      <c r="S20" s="122">
        <f>'Data Input'!T38/2</f>
        <v>823</v>
      </c>
      <c r="T20" s="122">
        <f>'Data Input'!U38/2</f>
        <v>1069</v>
      </c>
      <c r="U20" s="122">
        <f>'Data Input'!V38/2</f>
        <v>1155.5</v>
      </c>
      <c r="V20" s="122">
        <f>'Data Input'!W38/2</f>
        <v>1361.5</v>
      </c>
      <c r="W20" s="122">
        <f>'Data Input'!X38/2</f>
        <v>1348.5974285714287</v>
      </c>
      <c r="X20" s="122">
        <f>'Data Input'!Y38/2</f>
        <v>1411.5</v>
      </c>
      <c r="Y20" s="122">
        <f>'Data Input'!Z38/2</f>
        <v>1471.8581160714284</v>
      </c>
      <c r="Z20" s="122">
        <f>'Data Input'!AA38/2</f>
        <v>1540.5</v>
      </c>
      <c r="AA20" s="122">
        <f>'Data Input'!AB38/2</f>
        <v>1608</v>
      </c>
      <c r="AB20" s="488">
        <f>'Data Input'!AC38/2</f>
        <v>1649.5</v>
      </c>
      <c r="AC20" s="79">
        <f>'Data Input'!AD38/2</f>
        <v>1713.9523224043714</v>
      </c>
      <c r="AD20" s="79">
        <f>'Data Input'!AE38/2</f>
        <v>1782.0770008196719</v>
      </c>
      <c r="AE20" s="79">
        <f>'Data Input'!AF38/2</f>
        <v>1843.3014818469944</v>
      </c>
      <c r="AF20" s="241">
        <f>'Data Input'!AG38/2</f>
        <v>1906.6476124352184</v>
      </c>
    </row>
    <row r="21" spans="1:32" s="3" customFormat="1" x14ac:dyDescent="0.2">
      <c r="A21" s="3" t="s">
        <v>53</v>
      </c>
      <c r="B21" s="3" t="s">
        <v>57</v>
      </c>
      <c r="C21" s="6">
        <f>'Data Input'!D18/2</f>
        <v>-380</v>
      </c>
      <c r="D21" s="6">
        <f>'Data Input'!E18/2</f>
        <v>-414.5</v>
      </c>
      <c r="E21" s="6">
        <f>'Data Input'!F18/2</f>
        <v>-460.5</v>
      </c>
      <c r="F21" s="6">
        <f>'Data Input'!G18/2</f>
        <v>-500.5</v>
      </c>
      <c r="G21" s="6">
        <f>'Data Input'!H18/2</f>
        <v>-565</v>
      </c>
      <c r="H21" s="6">
        <f>'Data Input'!I18/2</f>
        <v>-630.5</v>
      </c>
      <c r="I21" s="6">
        <f>'Data Input'!J18/2</f>
        <v>-760</v>
      </c>
      <c r="J21" s="6">
        <f>'Data Input'!K18/2</f>
        <v>-901</v>
      </c>
      <c r="K21" s="6">
        <f>'Data Input'!L18/2</f>
        <v>-1051.5</v>
      </c>
      <c r="L21" s="6">
        <f>'Data Input'!M18/2</f>
        <v>-1139</v>
      </c>
      <c r="M21" s="6">
        <f>'Data Input'!N18/2</f>
        <v>-1270.5</v>
      </c>
      <c r="N21" s="6">
        <f>'Data Input'!O18/2</f>
        <v>-1540</v>
      </c>
      <c r="O21" s="6">
        <f>'Data Input'!P18/2</f>
        <v>-1538</v>
      </c>
      <c r="P21" s="6">
        <f>'Data Input'!Q18/2</f>
        <v>-1599.5</v>
      </c>
      <c r="Q21" s="126">
        <f>'Data Input'!R18/2</f>
        <v>-1714</v>
      </c>
      <c r="R21" s="126">
        <f>'Data Input'!S18/2</f>
        <v>-1810</v>
      </c>
      <c r="S21" s="126">
        <f>'Data Input'!T18/2</f>
        <v>-1909</v>
      </c>
      <c r="T21" s="126">
        <f>'Data Input'!U18/2</f>
        <v>-2010</v>
      </c>
      <c r="U21" s="126">
        <f>'Data Input'!V18/2</f>
        <v>-2097</v>
      </c>
      <c r="V21" s="126">
        <f>'Data Input'!W18/2</f>
        <v>-2196</v>
      </c>
      <c r="W21" s="126">
        <f>'Data Input'!X18/2</f>
        <v>-2250</v>
      </c>
      <c r="X21" s="126">
        <f>'Data Input'!Y18/2</f>
        <v>-2331.5</v>
      </c>
      <c r="Y21" s="126">
        <f>'Data Input'!Z18/2</f>
        <v>-2462</v>
      </c>
      <c r="Z21" s="126">
        <f>'Data Input'!AA18/2</f>
        <v>-2575</v>
      </c>
      <c r="AA21" s="126">
        <f>'Data Input'!AB18/2</f>
        <v>-2653</v>
      </c>
      <c r="AB21" s="489">
        <f>'Data Input'!AC18/2</f>
        <v>-2768</v>
      </c>
      <c r="AC21" s="81">
        <f>'Data Input'!AD18/2</f>
        <v>-2847.3898800902357</v>
      </c>
      <c r="AD21" s="81">
        <f>'Data Input'!AE18/2</f>
        <v>-2974.2801586714045</v>
      </c>
      <c r="AE21" s="81">
        <f>'Data Input'!AF18/2</f>
        <v>-3105.880039601253</v>
      </c>
      <c r="AF21" s="242">
        <f>'Data Input'!AG18/2</f>
        <v>-3241.89041757724</v>
      </c>
    </row>
    <row r="22" spans="1:32" s="8" customFormat="1" x14ac:dyDescent="0.2">
      <c r="A22" s="8" t="s">
        <v>60</v>
      </c>
      <c r="B22" s="8" t="s">
        <v>31</v>
      </c>
      <c r="C22" s="8">
        <f>SUM(C18:C21)</f>
        <v>18810</v>
      </c>
      <c r="D22" s="8">
        <f>SUM(D18:D21)</f>
        <v>20474.5</v>
      </c>
      <c r="E22" s="8">
        <f t="shared" ref="E22:R22" si="4">SUM(E18:E21)</f>
        <v>25181</v>
      </c>
      <c r="F22" s="8">
        <f t="shared" si="4"/>
        <v>27973</v>
      </c>
      <c r="G22" s="8">
        <f t="shared" si="4"/>
        <v>32390</v>
      </c>
      <c r="H22" s="8">
        <f t="shared" si="4"/>
        <v>34264</v>
      </c>
      <c r="I22" s="8">
        <f t="shared" si="4"/>
        <v>38054.5</v>
      </c>
      <c r="J22" s="8">
        <f t="shared" si="4"/>
        <v>42960</v>
      </c>
      <c r="K22" s="8">
        <f t="shared" si="4"/>
        <v>48728</v>
      </c>
      <c r="L22" s="8">
        <f t="shared" si="4"/>
        <v>53949.5</v>
      </c>
      <c r="M22" s="8">
        <f t="shared" si="4"/>
        <v>60409</v>
      </c>
      <c r="N22" s="8">
        <f t="shared" si="4"/>
        <v>67896</v>
      </c>
      <c r="O22" s="8">
        <f t="shared" si="4"/>
        <v>71582.5</v>
      </c>
      <c r="P22" s="8">
        <f t="shared" si="4"/>
        <v>74975</v>
      </c>
      <c r="Q22" s="120">
        <f t="shared" si="4"/>
        <v>78190.5</v>
      </c>
      <c r="R22" s="120">
        <f t="shared" si="4"/>
        <v>81768.5</v>
      </c>
      <c r="S22" s="120">
        <f t="shared" ref="S22:AD22" si="5">SUM(S18:S21)</f>
        <v>87608</v>
      </c>
      <c r="T22" s="120">
        <f t="shared" si="5"/>
        <v>93909</v>
      </c>
      <c r="U22" s="120">
        <f t="shared" si="5"/>
        <v>103975.5</v>
      </c>
      <c r="V22" s="120">
        <f t="shared" si="5"/>
        <v>106122.5</v>
      </c>
      <c r="W22" s="120">
        <f t="shared" si="5"/>
        <v>108210.59742857143</v>
      </c>
      <c r="X22" s="120">
        <f t="shared" si="5"/>
        <v>113326</v>
      </c>
      <c r="Y22" s="120">
        <f t="shared" si="5"/>
        <v>114694.85811607142</v>
      </c>
      <c r="Z22" s="120">
        <f t="shared" si="5"/>
        <v>118829.5</v>
      </c>
      <c r="AA22" s="120">
        <f t="shared" si="5"/>
        <v>129822</v>
      </c>
      <c r="AB22" s="485">
        <f t="shared" si="5"/>
        <v>141957.5</v>
      </c>
      <c r="AC22" s="78">
        <f t="shared" si="5"/>
        <v>155844.56244231414</v>
      </c>
      <c r="AD22" s="78">
        <f t="shared" si="5"/>
        <v>169613.67172677655</v>
      </c>
      <c r="AE22" s="78">
        <f>SUM(AE18:AE21)</f>
        <v>182470.56969145979</v>
      </c>
      <c r="AF22" s="243">
        <f>SUM(AF18:AF21)</f>
        <v>194804.00759413943</v>
      </c>
    </row>
    <row r="23" spans="1:32" s="1" customFormat="1" x14ac:dyDescent="0.2">
      <c r="A23" s="1" t="s">
        <v>55</v>
      </c>
      <c r="B23" s="1" t="s">
        <v>49</v>
      </c>
      <c r="C23" s="4">
        <f>'Data Input'!D6</f>
        <v>0.105</v>
      </c>
      <c r="D23" s="4">
        <f>'Data Input'!E6</f>
        <v>0.10249999999999999</v>
      </c>
      <c r="E23" s="4">
        <f>'Data Input'!F6</f>
        <v>9.5000000000000001E-2</v>
      </c>
      <c r="F23" s="4">
        <f>'Data Input'!G6</f>
        <v>8.7499999999999994E-2</v>
      </c>
      <c r="G23" s="4">
        <f>'Data Input'!H6</f>
        <v>8.7499999999999994E-2</v>
      </c>
      <c r="H23" s="4">
        <f>'Data Input'!I6</f>
        <v>8.2500000000000004E-2</v>
      </c>
      <c r="I23" s="4">
        <f>'Data Input'!J6</f>
        <v>8.2500000000000004E-2</v>
      </c>
      <c r="J23" s="4">
        <f>'Data Input'!K6</f>
        <v>7.7499999999999999E-2</v>
      </c>
      <c r="K23" s="4">
        <f>'Data Input'!L6</f>
        <v>7.2499999999999995E-2</v>
      </c>
      <c r="L23" s="4">
        <f>'Data Input'!M6</f>
        <v>7.2499999999999995E-2</v>
      </c>
      <c r="M23" s="4">
        <f>'Data Input'!N6</f>
        <v>7.0000000000000007E-2</v>
      </c>
      <c r="N23" s="4">
        <f>'Data Input'!O6</f>
        <v>7.0000000000000007E-2</v>
      </c>
      <c r="O23" s="4">
        <f>'Data Input'!P6</f>
        <v>7.0000000000000007E-2</v>
      </c>
      <c r="P23" s="4">
        <f>'Data Input'!Q6</f>
        <v>7.0000000000000007E-2</v>
      </c>
      <c r="Q23" s="129">
        <f>'Data Input'!R6</f>
        <v>7.0000000000000007E-2</v>
      </c>
      <c r="R23" s="413">
        <f>'Data Input'!S6</f>
        <v>7.0000000000000007E-2</v>
      </c>
      <c r="S23" s="413">
        <f>'Data Input'!T6</f>
        <v>6.7500000000000004E-2</v>
      </c>
      <c r="T23" s="129">
        <f>'Data Input'!U6</f>
        <v>6.7500000000000004E-2</v>
      </c>
      <c r="U23" s="129">
        <f>'Data Input'!V6</f>
        <v>6.7500000000000004E-2</v>
      </c>
      <c r="V23" s="129">
        <f>'Data Input'!W6</f>
        <v>6.7500000000000004E-2</v>
      </c>
      <c r="W23" s="129">
        <f>'Data Input'!X6</f>
        <v>6.7500000000000004E-2</v>
      </c>
      <c r="X23" s="129">
        <f>'Data Input'!Y6</f>
        <v>6.7500000000000004E-2</v>
      </c>
      <c r="Y23" s="129">
        <f>'Data Input'!Z6</f>
        <v>6.7500000000000004E-2</v>
      </c>
      <c r="Z23" s="129">
        <f>'Data Input'!AA6</f>
        <v>6.7500000000000004E-2</v>
      </c>
      <c r="AA23" s="129">
        <f>'Data Input'!AB6</f>
        <v>6.7500000000000004E-2</v>
      </c>
      <c r="AB23" s="490">
        <f>'Data Input'!AC6</f>
        <v>6.5000000000000002E-2</v>
      </c>
      <c r="AC23" s="82">
        <f>'Data Input'!AD6</f>
        <v>6.25E-2</v>
      </c>
      <c r="AD23" s="82">
        <f>'Data Input'!AE6</f>
        <v>6.25E-2</v>
      </c>
      <c r="AE23" s="82">
        <f>'Data Input'!AF6</f>
        <v>6.25E-2</v>
      </c>
      <c r="AF23" s="244">
        <f>'Data Input'!AG6</f>
        <v>6.25E-2</v>
      </c>
    </row>
    <row r="24" spans="1:32" s="25" customFormat="1" x14ac:dyDescent="0.2">
      <c r="A24" s="25" t="s">
        <v>61</v>
      </c>
      <c r="B24" s="8" t="s">
        <v>31</v>
      </c>
      <c r="C24" s="26">
        <f>C22*C23</f>
        <v>1975.05</v>
      </c>
      <c r="D24" s="26">
        <f>D22*D23</f>
        <v>2098.63625</v>
      </c>
      <c r="E24" s="26">
        <f t="shared" ref="E24:R24" si="6">E22*E23</f>
        <v>2392.1950000000002</v>
      </c>
      <c r="F24" s="26">
        <f t="shared" si="6"/>
        <v>2447.6374999999998</v>
      </c>
      <c r="G24" s="26">
        <f t="shared" si="6"/>
        <v>2834.125</v>
      </c>
      <c r="H24" s="26">
        <f t="shared" si="6"/>
        <v>2826.78</v>
      </c>
      <c r="I24" s="26">
        <f t="shared" si="6"/>
        <v>3139.4962500000001</v>
      </c>
      <c r="J24" s="26">
        <f t="shared" si="6"/>
        <v>3329.4</v>
      </c>
      <c r="K24" s="26">
        <f t="shared" si="6"/>
        <v>3532.7799999999997</v>
      </c>
      <c r="L24" s="26">
        <f t="shared" si="6"/>
        <v>3911.3387499999999</v>
      </c>
      <c r="M24" s="26">
        <f t="shared" si="6"/>
        <v>4228.63</v>
      </c>
      <c r="N24" s="26">
        <f t="shared" si="6"/>
        <v>4752.72</v>
      </c>
      <c r="O24" s="26">
        <f t="shared" si="6"/>
        <v>5010.7750000000005</v>
      </c>
      <c r="P24" s="26">
        <f t="shared" si="6"/>
        <v>5248.2500000000009</v>
      </c>
      <c r="Q24" s="130">
        <f t="shared" si="6"/>
        <v>5473.3350000000009</v>
      </c>
      <c r="R24" s="130">
        <f t="shared" si="6"/>
        <v>5723.795000000001</v>
      </c>
      <c r="S24" s="130">
        <f t="shared" ref="S24:AD24" si="7">S22*S23</f>
        <v>5913.54</v>
      </c>
      <c r="T24" s="130">
        <f t="shared" si="7"/>
        <v>6338.8575000000001</v>
      </c>
      <c r="U24" s="130">
        <f t="shared" si="7"/>
        <v>7018.3462500000005</v>
      </c>
      <c r="V24" s="130">
        <f t="shared" si="7"/>
        <v>7163.2687500000002</v>
      </c>
      <c r="W24" s="130">
        <f t="shared" si="7"/>
        <v>7304.2153264285726</v>
      </c>
      <c r="X24" s="130">
        <f t="shared" si="7"/>
        <v>7649.5050000000001</v>
      </c>
      <c r="Y24" s="130">
        <f t="shared" si="7"/>
        <v>7741.9029228348218</v>
      </c>
      <c r="Z24" s="130">
        <f t="shared" si="7"/>
        <v>8020.9912500000009</v>
      </c>
      <c r="AA24" s="130">
        <f t="shared" si="7"/>
        <v>8762.9850000000006</v>
      </c>
      <c r="AB24" s="491">
        <f t="shared" si="7"/>
        <v>9227.2375000000011</v>
      </c>
      <c r="AC24" s="83">
        <f t="shared" si="7"/>
        <v>9740.2851526446339</v>
      </c>
      <c r="AD24" s="83">
        <f t="shared" si="7"/>
        <v>10600.854482923534</v>
      </c>
      <c r="AE24" s="83">
        <f>AE22*AE23</f>
        <v>11404.410605716237</v>
      </c>
      <c r="AF24" s="245">
        <f>AF22*AF23</f>
        <v>12175.250474633714</v>
      </c>
    </row>
    <row r="25" spans="1:32" x14ac:dyDescent="0.2">
      <c r="B25" s="8"/>
    </row>
    <row r="26" spans="1:32" x14ac:dyDescent="0.2">
      <c r="A26" t="s">
        <v>62</v>
      </c>
      <c r="B26" t="s">
        <v>66</v>
      </c>
      <c r="C26" s="22">
        <f>+C15</f>
        <v>2309.6849999999999</v>
      </c>
      <c r="D26" s="22">
        <f>+D15</f>
        <v>2518.0662499999999</v>
      </c>
      <c r="E26" s="22">
        <f t="shared" ref="E26:N26" si="8">+E15</f>
        <v>2623.1875</v>
      </c>
      <c r="F26" s="22">
        <f t="shared" si="8"/>
        <v>2700.7312499999998</v>
      </c>
      <c r="G26" s="22">
        <f t="shared" si="8"/>
        <v>2981.9124999999999</v>
      </c>
      <c r="H26" s="22">
        <f t="shared" si="8"/>
        <v>3044.1675</v>
      </c>
      <c r="I26" s="22">
        <f t="shared" si="8"/>
        <v>3221.1712500000003</v>
      </c>
      <c r="J26" s="22">
        <f t="shared" si="8"/>
        <v>3296.8887500000001</v>
      </c>
      <c r="K26" s="22">
        <f t="shared" si="8"/>
        <v>3353.9224999999997</v>
      </c>
      <c r="L26" s="22">
        <f t="shared" si="8"/>
        <v>3490.6212499999997</v>
      </c>
      <c r="M26" s="22">
        <f t="shared" si="8"/>
        <v>3480.7850000000003</v>
      </c>
      <c r="N26" s="22">
        <f t="shared" si="8"/>
        <v>3960</v>
      </c>
      <c r="O26" s="22">
        <f t="shared" ref="O26:U26" si="9">+O15</f>
        <v>4457.4950000000008</v>
      </c>
      <c r="P26" s="22">
        <f t="shared" si="9"/>
        <v>4661.09</v>
      </c>
      <c r="Q26" s="107">
        <f t="shared" si="9"/>
        <v>4912.1100000000006</v>
      </c>
      <c r="R26" s="107">
        <f t="shared" si="9"/>
        <v>5126.3450000000003</v>
      </c>
      <c r="S26" s="107">
        <f t="shared" si="9"/>
        <v>5364.09</v>
      </c>
      <c r="T26" s="107">
        <f t="shared" si="9"/>
        <v>5546.50875</v>
      </c>
      <c r="U26" s="107">
        <f t="shared" si="9"/>
        <v>5898.5212500000007</v>
      </c>
      <c r="V26" s="107">
        <f t="shared" ref="V26:AA26" si="10">+V15</f>
        <v>6142.9725000000008</v>
      </c>
      <c r="W26" s="107">
        <f t="shared" si="10"/>
        <v>6451.6837500000001</v>
      </c>
      <c r="X26" s="107">
        <f t="shared" si="10"/>
        <v>6620.0962500000005</v>
      </c>
      <c r="Y26" s="107">
        <f t="shared" si="10"/>
        <v>6927.7275000000009</v>
      </c>
      <c r="Z26" s="107">
        <f t="shared" si="10"/>
        <v>7068.0937500000009</v>
      </c>
      <c r="AA26" s="107">
        <f t="shared" si="10"/>
        <v>7312.9162500000002</v>
      </c>
      <c r="AB26" s="493">
        <f>+AB15</f>
        <v>7311.915</v>
      </c>
      <c r="AC26" s="85">
        <f>+AC15</f>
        <v>7189.8691871818601</v>
      </c>
      <c r="AD26" s="85">
        <f>+AD15</f>
        <v>7472.1518078976851</v>
      </c>
      <c r="AE26" s="85">
        <f>+AE15</f>
        <v>7770.3354924969935</v>
      </c>
      <c r="AF26" s="247">
        <f>+AF15</f>
        <v>8085.4618421636733</v>
      </c>
    </row>
    <row r="27" spans="1:32" x14ac:dyDescent="0.2">
      <c r="A27" t="s">
        <v>63</v>
      </c>
      <c r="B27" t="s">
        <v>66</v>
      </c>
      <c r="C27" s="22">
        <f>-C24</f>
        <v>-1975.05</v>
      </c>
      <c r="D27" s="22">
        <f>-D24</f>
        <v>-2098.63625</v>
      </c>
      <c r="E27" s="22">
        <f t="shared" ref="E27:N27" si="11">-E24</f>
        <v>-2392.1950000000002</v>
      </c>
      <c r="F27" s="22">
        <f t="shared" si="11"/>
        <v>-2447.6374999999998</v>
      </c>
      <c r="G27" s="22">
        <f t="shared" si="11"/>
        <v>-2834.125</v>
      </c>
      <c r="H27" s="22">
        <f t="shared" si="11"/>
        <v>-2826.78</v>
      </c>
      <c r="I27" s="22">
        <f t="shared" si="11"/>
        <v>-3139.4962500000001</v>
      </c>
      <c r="J27" s="22">
        <f t="shared" si="11"/>
        <v>-3329.4</v>
      </c>
      <c r="K27" s="22">
        <f t="shared" si="11"/>
        <v>-3532.7799999999997</v>
      </c>
      <c r="L27" s="22">
        <f t="shared" si="11"/>
        <v>-3911.3387499999999</v>
      </c>
      <c r="M27" s="22">
        <f t="shared" si="11"/>
        <v>-4228.63</v>
      </c>
      <c r="N27" s="22">
        <f t="shared" si="11"/>
        <v>-4752.72</v>
      </c>
      <c r="O27" s="22">
        <f t="shared" ref="O27:T27" si="12">-O24</f>
        <v>-5010.7750000000005</v>
      </c>
      <c r="P27" s="22">
        <f t="shared" si="12"/>
        <v>-5248.2500000000009</v>
      </c>
      <c r="Q27" s="107">
        <f t="shared" si="12"/>
        <v>-5473.3350000000009</v>
      </c>
      <c r="R27" s="107">
        <f t="shared" si="12"/>
        <v>-5723.795000000001</v>
      </c>
      <c r="S27" s="107">
        <f t="shared" si="12"/>
        <v>-5913.54</v>
      </c>
      <c r="T27" s="107">
        <f t="shared" si="12"/>
        <v>-6338.8575000000001</v>
      </c>
      <c r="U27" s="107">
        <f t="shared" ref="U27:Z27" si="13">-U24</f>
        <v>-7018.3462500000005</v>
      </c>
      <c r="V27" s="107">
        <f t="shared" si="13"/>
        <v>-7163.2687500000002</v>
      </c>
      <c r="W27" s="107">
        <f t="shared" si="13"/>
        <v>-7304.2153264285726</v>
      </c>
      <c r="X27" s="107">
        <f t="shared" si="13"/>
        <v>-7649.5050000000001</v>
      </c>
      <c r="Y27" s="107">
        <f t="shared" si="13"/>
        <v>-7741.9029228348218</v>
      </c>
      <c r="Z27" s="107">
        <f t="shared" si="13"/>
        <v>-8020.9912500000009</v>
      </c>
      <c r="AA27" s="107">
        <f t="shared" ref="AA27:AF27" si="14">-AA24</f>
        <v>-8762.9850000000006</v>
      </c>
      <c r="AB27" s="493">
        <f t="shared" si="14"/>
        <v>-9227.2375000000011</v>
      </c>
      <c r="AC27" s="85">
        <f t="shared" si="14"/>
        <v>-9740.2851526446339</v>
      </c>
      <c r="AD27" s="85">
        <f t="shared" si="14"/>
        <v>-10600.854482923534</v>
      </c>
      <c r="AE27" s="85">
        <f t="shared" si="14"/>
        <v>-11404.410605716237</v>
      </c>
      <c r="AF27" s="247">
        <f t="shared" si="14"/>
        <v>-12175.250474633714</v>
      </c>
    </row>
    <row r="28" spans="1:32" s="3" customFormat="1" x14ac:dyDescent="0.2">
      <c r="A28" s="3" t="s">
        <v>209</v>
      </c>
      <c r="B28" s="1" t="s">
        <v>49</v>
      </c>
      <c r="C28" s="24" t="str">
        <f>'Data Input'!D29</f>
        <v>n/a</v>
      </c>
      <c r="D28" s="24" t="str">
        <f>'Data Input'!E29</f>
        <v>n/a</v>
      </c>
      <c r="E28" s="24" t="str">
        <f>'Data Input'!F29</f>
        <v>n/a</v>
      </c>
      <c r="F28" s="24" t="str">
        <f>'Data Input'!G29</f>
        <v>n/a</v>
      </c>
      <c r="G28" s="24">
        <f>'Data Input'!H29</f>
        <v>70</v>
      </c>
      <c r="H28" s="24">
        <f>'Data Input'!I29</f>
        <v>79</v>
      </c>
      <c r="I28" s="24">
        <f>'Data Input'!J29</f>
        <v>61</v>
      </c>
      <c r="J28" s="24">
        <f>'Data Input'!K29</f>
        <v>68</v>
      </c>
      <c r="K28" s="24">
        <f>'Data Input'!L29</f>
        <v>53</v>
      </c>
      <c r="L28" s="24">
        <f>'Data Input'!M29</f>
        <v>44</v>
      </c>
      <c r="M28" s="24">
        <f>'Data Input'!N29</f>
        <v>41</v>
      </c>
      <c r="N28" s="24">
        <f>'Data Input'!O29</f>
        <v>44</v>
      </c>
      <c r="O28" s="24">
        <f>'Data Input'!P29</f>
        <v>54</v>
      </c>
      <c r="P28" s="24">
        <f>'Data Input'!Q29</f>
        <v>43</v>
      </c>
      <c r="Q28" s="132">
        <f>'Data Input'!R29</f>
        <v>40</v>
      </c>
      <c r="R28" s="132">
        <f>'Data Input'!S29</f>
        <v>36</v>
      </c>
      <c r="S28" s="132">
        <f>'Data Input'!T29</f>
        <v>34</v>
      </c>
      <c r="T28" s="132">
        <f>'Data Input'!U29</f>
        <v>31</v>
      </c>
      <c r="U28" s="132">
        <f>'Data Input'!V29</f>
        <v>47</v>
      </c>
      <c r="V28" s="132">
        <f>'Data Input'!W29</f>
        <v>57.981786999999997</v>
      </c>
      <c r="W28" s="132">
        <f>'Data Input'!X29</f>
        <v>58.585501000000001</v>
      </c>
      <c r="X28" s="132">
        <f>'Data Input'!Y29</f>
        <v>39.720883999999998</v>
      </c>
      <c r="Y28" s="132">
        <f>'Data Input'!Z29</f>
        <v>39.268236999999999</v>
      </c>
      <c r="Z28" s="132">
        <f>'Data Input'!AA29</f>
        <v>37.903300000000002</v>
      </c>
      <c r="AA28" s="132">
        <f>'Data Input'!AB29</f>
        <v>36.734502999999997</v>
      </c>
      <c r="AB28" s="494">
        <f>'Data Input'!AC29</f>
        <v>38</v>
      </c>
      <c r="AC28" s="86">
        <f>'Data Input'!AD29</f>
        <v>43.364365411764709</v>
      </c>
      <c r="AD28" s="86">
        <f>'Data Input'!AE29</f>
        <v>43.364365411764709</v>
      </c>
      <c r="AE28" s="86">
        <f>'Data Input'!AF29</f>
        <v>43.364365411764709</v>
      </c>
      <c r="AF28" s="248">
        <f>'Data Input'!AG29</f>
        <v>43.364365411764709</v>
      </c>
    </row>
    <row r="29" spans="1:32" s="63" customFormat="1" ht="15.75" thickBot="1" x14ac:dyDescent="0.3">
      <c r="A29" s="63" t="s">
        <v>65</v>
      </c>
      <c r="B29" s="64" t="s">
        <v>31</v>
      </c>
      <c r="C29" s="65">
        <f>SUM(C26:C28)</f>
        <v>334.63499999999999</v>
      </c>
      <c r="D29" s="65">
        <f>SUM(D26:D28)</f>
        <v>419.42999999999984</v>
      </c>
      <c r="E29" s="65">
        <f t="shared" ref="E29:R29" si="15">SUM(E26:E28)</f>
        <v>230.99249999999984</v>
      </c>
      <c r="F29" s="65">
        <f t="shared" si="15"/>
        <v>253.09375</v>
      </c>
      <c r="G29" s="65">
        <f t="shared" si="15"/>
        <v>217.78749999999991</v>
      </c>
      <c r="H29" s="65">
        <f t="shared" si="15"/>
        <v>296.38749999999982</v>
      </c>
      <c r="I29" s="65">
        <f t="shared" si="15"/>
        <v>142.67500000000018</v>
      </c>
      <c r="J29" s="65">
        <f t="shared" si="15"/>
        <v>35.488749999999982</v>
      </c>
      <c r="K29" s="65">
        <f t="shared" si="15"/>
        <v>-125.85750000000007</v>
      </c>
      <c r="L29" s="65">
        <f t="shared" si="15"/>
        <v>-376.7175000000002</v>
      </c>
      <c r="M29" s="65">
        <f t="shared" si="15"/>
        <v>-706.8449999999998</v>
      </c>
      <c r="N29" s="65">
        <f t="shared" si="15"/>
        <v>-748.72000000000025</v>
      </c>
      <c r="O29" s="65">
        <f t="shared" si="15"/>
        <v>-499.27999999999975</v>
      </c>
      <c r="P29" s="65">
        <f t="shared" si="15"/>
        <v>-544.16000000000076</v>
      </c>
      <c r="Q29" s="133">
        <f t="shared" si="15"/>
        <v>-521.22500000000036</v>
      </c>
      <c r="R29" s="133">
        <f t="shared" si="15"/>
        <v>-561.45000000000073</v>
      </c>
      <c r="S29" s="133">
        <f t="shared" ref="S29:AD29" si="16">SUM(S26:S28)</f>
        <v>-515.44999999999982</v>
      </c>
      <c r="T29" s="133">
        <f t="shared" si="16"/>
        <v>-761.34875000000011</v>
      </c>
      <c r="U29" s="133">
        <f t="shared" si="16"/>
        <v>-1072.8249999999998</v>
      </c>
      <c r="V29" s="133">
        <f t="shared" si="16"/>
        <v>-962.31446299999948</v>
      </c>
      <c r="W29" s="133">
        <f t="shared" si="16"/>
        <v>-793.94607542857239</v>
      </c>
      <c r="X29" s="133">
        <f t="shared" si="16"/>
        <v>-989.68786599999964</v>
      </c>
      <c r="Y29" s="133">
        <f t="shared" si="16"/>
        <v>-774.90718583482089</v>
      </c>
      <c r="Z29" s="133">
        <f t="shared" si="16"/>
        <v>-914.99420000000009</v>
      </c>
      <c r="AA29" s="133">
        <f t="shared" si="16"/>
        <v>-1413.3342470000005</v>
      </c>
      <c r="AB29" s="495">
        <f t="shared" si="16"/>
        <v>-1877.3225000000011</v>
      </c>
      <c r="AC29" s="87">
        <f t="shared" si="16"/>
        <v>-2507.0516000510092</v>
      </c>
      <c r="AD29" s="87">
        <f t="shared" si="16"/>
        <v>-3085.3383096140847</v>
      </c>
      <c r="AE29" s="87">
        <f>SUM(AE26:AE28)</f>
        <v>-3590.710747807479</v>
      </c>
      <c r="AF29" s="249">
        <f>SUM(AF26:AF28)</f>
        <v>-4046.4242670582767</v>
      </c>
    </row>
    <row r="30" spans="1:32" ht="13.5" thickTop="1" x14ac:dyDescent="0.2"/>
    <row r="31" spans="1:32" x14ac:dyDescent="0.2">
      <c r="X31" s="107"/>
    </row>
    <row r="32" spans="1:32" x14ac:dyDescent="0.2">
      <c r="X32" s="107"/>
    </row>
  </sheetData>
  <phoneticPr fontId="0" type="noConversion"/>
  <pageMargins left="0.5" right="0.5" top="1" bottom="1" header="0.5" footer="0.5"/>
  <pageSetup paperSize="5" scale="61" orientation="landscape" r:id="rId1"/>
  <headerFooter alignWithMargins="0">
    <oddFooter>&amp;L&amp;"Arial,Bold"&amp;F&amp;C&amp;A&amp;R&amp;D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14"/>
  <sheetViews>
    <sheetView zoomScale="75" zoomScaleNormal="75" workbookViewId="0">
      <pane xSplit="2" ySplit="4" topLeftCell="R5" activePane="bottomRight" state="frozen"/>
      <selection activeCell="AF39" sqref="AF39"/>
      <selection pane="topRight" activeCell="AF39" sqref="AF39"/>
      <selection pane="bottomLeft" activeCell="AF39" sqref="AF39"/>
      <selection pane="bottomRight" activeCell="AJ25" sqref="AJ25"/>
    </sheetView>
  </sheetViews>
  <sheetFormatPr baseColWidth="10" defaultColWidth="9.140625" defaultRowHeight="12.75" outlineLevelCol="1" x14ac:dyDescent="0.2"/>
  <cols>
    <col min="1" max="1" width="49.42578125" customWidth="1"/>
    <col min="2" max="2" width="19.5703125" customWidth="1"/>
    <col min="11" max="16" width="9.140625" style="116"/>
    <col min="17" max="17" width="9.42578125" style="116" customWidth="1"/>
    <col min="18" max="20" width="9.140625" style="116"/>
    <col min="21" max="21" width="9.140625" style="116" customWidth="1"/>
    <col min="22" max="22" width="9.140625" style="496" customWidth="1"/>
    <col min="23" max="25" width="9.140625" style="76" hidden="1" customWidth="1" outlineLevel="1"/>
    <col min="26" max="26" width="9.140625" style="239" hidden="1" customWidth="1" outlineLevel="1"/>
    <col min="27" max="27" width="9.140625" collapsed="1"/>
  </cols>
  <sheetData>
    <row r="1" spans="1:26" ht="15.75" x14ac:dyDescent="0.25">
      <c r="A1" s="18" t="s">
        <v>258</v>
      </c>
      <c r="B1" s="18"/>
    </row>
    <row r="2" spans="1:26" ht="15.75" x14ac:dyDescent="0.25">
      <c r="A2" s="2" t="s">
        <v>68</v>
      </c>
      <c r="B2" s="18"/>
    </row>
    <row r="3" spans="1:26" x14ac:dyDescent="0.2">
      <c r="A3" s="315" t="s">
        <v>406</v>
      </c>
      <c r="T3" s="346" t="s">
        <v>178</v>
      </c>
      <c r="U3" s="346" t="s">
        <v>294</v>
      </c>
      <c r="V3" s="497" t="s">
        <v>309</v>
      </c>
      <c r="W3" s="316" t="s">
        <v>315</v>
      </c>
      <c r="X3" s="316" t="s">
        <v>316</v>
      </c>
      <c r="Y3" s="316" t="s">
        <v>317</v>
      </c>
      <c r="Z3" s="317" t="s">
        <v>318</v>
      </c>
    </row>
    <row r="4" spans="1:26" ht="13.5" thickBot="1" x14ac:dyDescent="0.25">
      <c r="A4" s="19" t="s">
        <v>1</v>
      </c>
      <c r="B4" s="20" t="s">
        <v>26</v>
      </c>
      <c r="C4" s="20">
        <v>1996</v>
      </c>
      <c r="D4" s="20">
        <v>1997</v>
      </c>
      <c r="E4" s="20">
        <v>1998</v>
      </c>
      <c r="F4" s="20">
        <v>1999</v>
      </c>
      <c r="G4" s="20">
        <v>2000</v>
      </c>
      <c r="H4" s="20">
        <v>2001</v>
      </c>
      <c r="I4" s="20">
        <v>2002</v>
      </c>
      <c r="J4" s="20">
        <v>2003</v>
      </c>
      <c r="K4" s="117">
        <v>2004</v>
      </c>
      <c r="L4" s="117">
        <v>2005</v>
      </c>
      <c r="M4" s="117">
        <v>2006</v>
      </c>
      <c r="N4" s="117">
        <v>2007</v>
      </c>
      <c r="O4" s="117">
        <v>2008</v>
      </c>
      <c r="P4" s="117">
        <v>2009</v>
      </c>
      <c r="Q4" s="117">
        <v>2010</v>
      </c>
      <c r="R4" s="117">
        <v>2011</v>
      </c>
      <c r="S4" s="117">
        <v>2012</v>
      </c>
      <c r="T4" s="117">
        <v>2013</v>
      </c>
      <c r="U4" s="117">
        <v>2014</v>
      </c>
      <c r="V4" s="498">
        <v>2015</v>
      </c>
      <c r="W4" s="77">
        <v>2016</v>
      </c>
      <c r="X4" s="77">
        <v>2017</v>
      </c>
      <c r="Y4" s="77">
        <v>2018</v>
      </c>
      <c r="Z4" s="240">
        <v>2019</v>
      </c>
    </row>
    <row r="7" spans="1:26" x14ac:dyDescent="0.2">
      <c r="A7" s="28" t="s">
        <v>261</v>
      </c>
    </row>
    <row r="8" spans="1:26" x14ac:dyDescent="0.2">
      <c r="A8" s="3" t="s">
        <v>48</v>
      </c>
      <c r="B8" s="3" t="s">
        <v>259</v>
      </c>
      <c r="C8" s="3">
        <f>'RCA data'!C11</f>
        <v>380</v>
      </c>
      <c r="D8" s="3">
        <f>'RCA data'!D11</f>
        <v>347</v>
      </c>
      <c r="E8" s="3">
        <f>'RCA data'!E11</f>
        <v>273</v>
      </c>
      <c r="F8" s="3">
        <f>'RCA data'!F11</f>
        <v>286</v>
      </c>
      <c r="G8" s="3">
        <f>'RCA data'!G11</f>
        <v>239</v>
      </c>
      <c r="H8" s="3">
        <f>'RCA data'!H11</f>
        <v>306</v>
      </c>
      <c r="I8" s="3">
        <f>'RCA data'!I11</f>
        <v>361</v>
      </c>
      <c r="J8" s="3">
        <f>'RCA data'!J11</f>
        <v>474.67</v>
      </c>
      <c r="K8" s="122">
        <f>'RCA data'!K11</f>
        <v>157.977</v>
      </c>
      <c r="L8" s="122">
        <f>'RCA data'!L11</f>
        <v>188.56900000000002</v>
      </c>
      <c r="M8" s="122">
        <f>'RCA data'!M11</f>
        <v>167.649</v>
      </c>
      <c r="N8" s="122">
        <f>'RCA data'!N11</f>
        <v>207.655</v>
      </c>
      <c r="O8" s="122">
        <f>'RCA data'!O11</f>
        <v>245.40100000000001</v>
      </c>
      <c r="P8" s="122">
        <f>'RCA data'!P11</f>
        <v>227.29400000000001</v>
      </c>
      <c r="Q8" s="122">
        <f>'RCA data'!Q11</f>
        <v>295.99200000000002</v>
      </c>
      <c r="R8" s="122">
        <f>'RCA data'!R11</f>
        <v>383.58199999999999</v>
      </c>
      <c r="S8" s="122">
        <f>'RCA data'!S11</f>
        <v>391.83499999999998</v>
      </c>
      <c r="T8" s="122">
        <f>'RCA data'!T11</f>
        <v>380.09500000000003</v>
      </c>
      <c r="U8" s="122">
        <f>'RCA data'!U11</f>
        <v>344.35599999999999</v>
      </c>
      <c r="V8" s="499">
        <f>'RCA data'!V11</f>
        <v>329.99400000000003</v>
      </c>
      <c r="W8" s="79">
        <f>'RCA data'!W11</f>
        <v>309.17200000000003</v>
      </c>
      <c r="X8" s="79">
        <f>'RCA data'!X11</f>
        <v>310.16956500000003</v>
      </c>
      <c r="Y8" s="79">
        <f>'RCA data'!Y11</f>
        <v>311.20723923125001</v>
      </c>
      <c r="Z8" s="241">
        <f>'RCA data'!Z11</f>
        <v>312.28814035075783</v>
      </c>
    </row>
    <row r="9" spans="1:26" x14ac:dyDescent="0.2">
      <c r="A9" s="3" t="s">
        <v>51</v>
      </c>
      <c r="B9" s="3" t="s">
        <v>260</v>
      </c>
      <c r="C9" s="3">
        <f>'RCA data'!D13/2</f>
        <v>15.5</v>
      </c>
      <c r="D9" s="3">
        <f>'RCA data'!E13/2</f>
        <v>10.5</v>
      </c>
      <c r="E9" s="3">
        <f>'RCA data'!F13/2</f>
        <v>12.5</v>
      </c>
      <c r="F9" s="3">
        <f>'RCA data'!G13/2</f>
        <v>11</v>
      </c>
      <c r="G9" s="3">
        <f>'RCA data'!H13/2</f>
        <v>9</v>
      </c>
      <c r="H9" s="3">
        <f>'RCA data'!I13/2</f>
        <v>16</v>
      </c>
      <c r="I9" s="3">
        <f>'RCA data'!J13/2</f>
        <v>16.324000000000002</v>
      </c>
      <c r="J9" s="3">
        <f>'RCA data'!K13/2</f>
        <v>4.5380000000000003</v>
      </c>
      <c r="K9" s="122">
        <f>'RCA data'!L13/2</f>
        <v>5.1684999999999999</v>
      </c>
      <c r="L9" s="122">
        <f>'RCA data'!M13/2</f>
        <v>5.7975000000000003</v>
      </c>
      <c r="M9" s="122">
        <f>'RCA data'!N13/2</f>
        <v>3.665</v>
      </c>
      <c r="N9" s="122">
        <f>'RCA data'!O13/2</f>
        <v>4.6524999999999999</v>
      </c>
      <c r="O9" s="122">
        <f>'RCA data'!P13/2</f>
        <v>5.4195000000000002</v>
      </c>
      <c r="P9" s="122">
        <f>'RCA data'!Q13/2</f>
        <v>4.9725000000000001</v>
      </c>
      <c r="Q9" s="122">
        <f>'RCA data'!R13/2</f>
        <v>6.4095000000000004</v>
      </c>
      <c r="R9" s="122">
        <f>'RCA data'!S13/2</f>
        <v>7.5060000000000002</v>
      </c>
      <c r="S9" s="122">
        <f>'RCA data'!T13/2</f>
        <v>7.2874999999999996</v>
      </c>
      <c r="T9" s="122">
        <f>'RCA data'!U13/2</f>
        <v>6.7255000000000003</v>
      </c>
      <c r="U9" s="122">
        <f>'RCA data'!V13/2</f>
        <v>3.2679999999999998</v>
      </c>
      <c r="V9" s="499">
        <f>'RCA data'!W13/2</f>
        <v>4.1120000000000001</v>
      </c>
      <c r="W9" s="79">
        <f>'RCA data'!X13/2</f>
        <v>4.2147999999999994</v>
      </c>
      <c r="X9" s="79">
        <f>'RCA data'!Y13/2</f>
        <v>4.3201699999999992</v>
      </c>
      <c r="Y9" s="79">
        <f>'RCA data'!Z13/2</f>
        <v>4.4281742499999988</v>
      </c>
      <c r="Z9" s="241">
        <f>'RCA data'!AA13/2</f>
        <v>4.5388786062499982</v>
      </c>
    </row>
    <row r="10" spans="1:26" x14ac:dyDescent="0.2">
      <c r="A10" s="3" t="s">
        <v>52</v>
      </c>
      <c r="B10" s="3" t="s">
        <v>260</v>
      </c>
      <c r="C10" s="3">
        <f>('RCA data'!D14+'RCA data'!D15)/2</f>
        <v>0</v>
      </c>
      <c r="D10" s="3">
        <f>('RCA data'!E14+'RCA data'!E15)/2</f>
        <v>0</v>
      </c>
      <c r="E10" s="3">
        <f>('RCA data'!F14+'RCA data'!F15)/2</f>
        <v>35.5</v>
      </c>
      <c r="F10" s="3">
        <f>('RCA data'!G14+'RCA data'!G15)/2</f>
        <v>0</v>
      </c>
      <c r="G10" s="3">
        <f>('RCA data'!H14+'RCA data'!H15)/2</f>
        <v>0</v>
      </c>
      <c r="H10" s="3">
        <f>('RCA data'!I14+'RCA data'!I15)/2</f>
        <v>19.5</v>
      </c>
      <c r="I10" s="3">
        <f>('RCA data'!J14+'RCA data'!J15)/2</f>
        <v>0</v>
      </c>
      <c r="J10" s="3">
        <f>('RCA data'!K14+'RCA data'!K15)/2</f>
        <v>0</v>
      </c>
      <c r="K10" s="122">
        <f>('RCA data'!L14+'RCA data'!L15)/2</f>
        <v>0</v>
      </c>
      <c r="L10" s="122">
        <f>('RCA data'!M14+'RCA data'!M15)/2</f>
        <v>0</v>
      </c>
      <c r="M10" s="122">
        <f>('RCA data'!N14+'RCA data'!N15)/2</f>
        <v>0</v>
      </c>
      <c r="N10" s="122">
        <f>('RCA data'!O14+'RCA data'!O15)/2</f>
        <v>0</v>
      </c>
      <c r="O10" s="122">
        <f>('RCA data'!P14+'RCA data'!P15)/2</f>
        <v>0</v>
      </c>
      <c r="P10" s="122">
        <f>('RCA data'!Q14+'RCA data'!Q15)/2</f>
        <v>0</v>
      </c>
      <c r="Q10" s="122">
        <f>('RCA data'!R14+'RCA data'!R15)/2</f>
        <v>0</v>
      </c>
      <c r="R10" s="122">
        <f>('RCA data'!S14+'RCA data'!S15)/2</f>
        <v>0</v>
      </c>
      <c r="S10" s="122">
        <f>('RCA data'!T14+'RCA data'!T15)/2</f>
        <v>0</v>
      </c>
      <c r="T10" s="122">
        <f>('RCA data'!U14+'RCA data'!U15)/2</f>
        <v>0</v>
      </c>
      <c r="U10" s="122">
        <f>('RCA data'!V14+'RCA data'!V15)/2</f>
        <v>0</v>
      </c>
      <c r="V10" s="499">
        <f>('RCA data'!W14+'RCA data'!W15)/2</f>
        <v>0</v>
      </c>
      <c r="W10" s="79">
        <f>('RCA data'!X14+'RCA data'!X15)/2</f>
        <v>0</v>
      </c>
      <c r="X10" s="79">
        <f>('RCA data'!Y14+'RCA data'!Y15)/2</f>
        <v>0</v>
      </c>
      <c r="Y10" s="79">
        <f>('RCA data'!Z14+'RCA data'!Z15)/2</f>
        <v>0</v>
      </c>
      <c r="Z10" s="241">
        <f>('RCA data'!AA14+'RCA data'!AA15)/2</f>
        <v>0</v>
      </c>
    </row>
    <row r="11" spans="1:26" x14ac:dyDescent="0.2">
      <c r="A11" s="3" t="s">
        <v>53</v>
      </c>
      <c r="B11" s="3" t="s">
        <v>260</v>
      </c>
      <c r="C11" s="6">
        <f>'RCA data'!D16/2</f>
        <v>0</v>
      </c>
      <c r="D11" s="6">
        <f>'RCA data'!E16/2</f>
        <v>0</v>
      </c>
      <c r="E11" s="6">
        <f>'RCA data'!F16/2</f>
        <v>0</v>
      </c>
      <c r="F11" s="6">
        <f>'RCA data'!G16/2</f>
        <v>0</v>
      </c>
      <c r="G11" s="6">
        <f>'RCA data'!H16/2</f>
        <v>0</v>
      </c>
      <c r="H11" s="6">
        <f>'RCA data'!I16/2</f>
        <v>-0.5</v>
      </c>
      <c r="I11" s="6">
        <f>'RCA data'!J16/2</f>
        <v>-0.61899999999999999</v>
      </c>
      <c r="J11" s="6">
        <f>'RCA data'!K16/2</f>
        <v>-0.86450000000000005</v>
      </c>
      <c r="K11" s="126">
        <f>'RCA data'!L16/2</f>
        <v>-1.028</v>
      </c>
      <c r="L11" s="126">
        <f>'RCA data'!M16/2</f>
        <v>-1.2875000000000001</v>
      </c>
      <c r="M11" s="126">
        <f>'RCA data'!N16/2</f>
        <v>-1.4</v>
      </c>
      <c r="N11" s="126">
        <f>'RCA data'!O16/2</f>
        <v>-1.6105</v>
      </c>
      <c r="O11" s="126">
        <f>'RCA data'!P16/2</f>
        <v>-1.8560000000000001</v>
      </c>
      <c r="P11" s="126">
        <f>'RCA data'!Q16/2</f>
        <v>-2.2124999999999999</v>
      </c>
      <c r="Q11" s="126">
        <f>'RCA data'!R16/2</f>
        <v>-2.4049999999999998</v>
      </c>
      <c r="R11" s="126">
        <f>'RCA data'!S16/2</f>
        <v>-2.9584999999999999</v>
      </c>
      <c r="S11" s="126">
        <f>'RCA data'!T16/2</f>
        <v>-3.03</v>
      </c>
      <c r="T11" s="126">
        <f>'RCA data'!U16/2</f>
        <v>-3.2955000000000001</v>
      </c>
      <c r="U11" s="126">
        <f>'RCA data'!V16/2</f>
        <v>-4.5175000000000001</v>
      </c>
      <c r="V11" s="500">
        <f>'RCA data'!W16/2</f>
        <v>-6.1360000000000001</v>
      </c>
      <c r="W11" s="81">
        <f>'RCA data'!X16/2</f>
        <v>-6.2280399999999991</v>
      </c>
      <c r="X11" s="81">
        <f>'RCA data'!Y16/2</f>
        <v>-6.3214605999999982</v>
      </c>
      <c r="Y11" s="81">
        <f>'RCA data'!Z16/2</f>
        <v>-6.4162825089999975</v>
      </c>
      <c r="Z11" s="242">
        <f>'RCA data'!AA16/2</f>
        <v>-6.5125267466349968</v>
      </c>
    </row>
    <row r="12" spans="1:26" x14ac:dyDescent="0.2">
      <c r="A12" s="8" t="s">
        <v>54</v>
      </c>
      <c r="B12" s="8" t="s">
        <v>31</v>
      </c>
      <c r="C12" s="8">
        <f t="shared" ref="C12:J12" si="0">SUM(C8:C11)</f>
        <v>395.5</v>
      </c>
      <c r="D12" s="8">
        <f t="shared" si="0"/>
        <v>357.5</v>
      </c>
      <c r="E12" s="8">
        <f t="shared" si="0"/>
        <v>321</v>
      </c>
      <c r="F12" s="8">
        <f t="shared" si="0"/>
        <v>297</v>
      </c>
      <c r="G12" s="8">
        <f t="shared" si="0"/>
        <v>248</v>
      </c>
      <c r="H12" s="8">
        <f t="shared" si="0"/>
        <v>341</v>
      </c>
      <c r="I12" s="8">
        <f t="shared" si="0"/>
        <v>376.70499999999998</v>
      </c>
      <c r="J12" s="8">
        <f t="shared" si="0"/>
        <v>478.34350000000001</v>
      </c>
      <c r="K12" s="120">
        <f t="shared" ref="K12:X12" si="1">SUM(K8:K11)</f>
        <v>162.11750000000001</v>
      </c>
      <c r="L12" s="120">
        <f t="shared" si="1"/>
        <v>193.07900000000004</v>
      </c>
      <c r="M12" s="120">
        <f t="shared" si="1"/>
        <v>169.91399999999999</v>
      </c>
      <c r="N12" s="120">
        <f t="shared" si="1"/>
        <v>210.697</v>
      </c>
      <c r="O12" s="120">
        <f t="shared" si="1"/>
        <v>248.96450000000002</v>
      </c>
      <c r="P12" s="120">
        <f t="shared" si="1"/>
        <v>230.054</v>
      </c>
      <c r="Q12" s="120">
        <f t="shared" si="1"/>
        <v>299.99650000000003</v>
      </c>
      <c r="R12" s="120">
        <f t="shared" si="1"/>
        <v>388.12949999999995</v>
      </c>
      <c r="S12" s="120">
        <f t="shared" si="1"/>
        <v>396.09250000000003</v>
      </c>
      <c r="T12" s="120">
        <f t="shared" si="1"/>
        <v>383.52500000000003</v>
      </c>
      <c r="U12" s="120">
        <f t="shared" si="1"/>
        <v>343.10649999999998</v>
      </c>
      <c r="V12" s="501">
        <f t="shared" si="1"/>
        <v>327.97</v>
      </c>
      <c r="W12" s="78">
        <f t="shared" si="1"/>
        <v>307.15876000000003</v>
      </c>
      <c r="X12" s="78">
        <f t="shared" si="1"/>
        <v>308.16827440000003</v>
      </c>
      <c r="Y12" s="78">
        <f>SUM(Y8:Y11)</f>
        <v>309.21913097225001</v>
      </c>
      <c r="Z12" s="243">
        <f>SUM(Z8:Z11)</f>
        <v>310.31449221037286</v>
      </c>
    </row>
    <row r="13" spans="1:26" x14ac:dyDescent="0.2">
      <c r="A13" s="1" t="s">
        <v>55</v>
      </c>
      <c r="B13" s="3" t="s">
        <v>259</v>
      </c>
      <c r="C13" s="4">
        <f>'RCA data'!D6</f>
        <v>4.1250000000000002E-2</v>
      </c>
      <c r="D13" s="4">
        <f>'RCA data'!E6</f>
        <v>3.875E-2</v>
      </c>
      <c r="E13" s="4">
        <f>'RCA data'!F6</f>
        <v>3.6249999999999998E-2</v>
      </c>
      <c r="F13" s="4">
        <f>'RCA data'!G6</f>
        <v>3.3750000000000002E-2</v>
      </c>
      <c r="G13" s="4">
        <f>'RCA data'!H6</f>
        <v>3.125E-2</v>
      </c>
      <c r="H13" s="4">
        <f>'RCA data'!I6</f>
        <v>3.15E-2</v>
      </c>
      <c r="I13" s="4">
        <f>'RCA data'!J6</f>
        <v>2.9499999999999998E-2</v>
      </c>
      <c r="J13" s="4">
        <f>'RCA data'!K6</f>
        <v>2.8500000000000001E-2</v>
      </c>
      <c r="K13" s="129">
        <f>'RCA data'!L6</f>
        <v>2.6749999999999999E-2</v>
      </c>
      <c r="L13" s="129">
        <f>'RCA data'!M6</f>
        <v>2.3E-2</v>
      </c>
      <c r="M13" s="129">
        <f>'RCA data'!N6</f>
        <v>2.35E-2</v>
      </c>
      <c r="N13" s="129">
        <f>'RCA data'!O6</f>
        <v>2.325E-2</v>
      </c>
      <c r="O13" s="129">
        <f>'RCA data'!P6</f>
        <v>0.02</v>
      </c>
      <c r="P13" s="129">
        <f>'RCA data'!Q6</f>
        <v>0.02</v>
      </c>
      <c r="Q13" s="129">
        <f>'RCA data'!R6</f>
        <v>2.3E-2</v>
      </c>
      <c r="R13" s="129">
        <f>'RCA data'!S6</f>
        <v>2.0250000000000001E-2</v>
      </c>
      <c r="S13" s="129">
        <f>'RCA data'!T6</f>
        <v>1.7000000000000001E-2</v>
      </c>
      <c r="T13" s="129">
        <f>'RCA data'!U6</f>
        <v>1.7000000000000001E-2</v>
      </c>
      <c r="U13" s="129">
        <f>'RCA data'!V6</f>
        <v>2.1000000000000001E-2</v>
      </c>
      <c r="V13" s="502">
        <f>'RCA data'!W6</f>
        <v>1.6750000000000001E-2</v>
      </c>
      <c r="W13" s="82">
        <f>'RCA data'!X6</f>
        <v>1.6250000000000001E-2</v>
      </c>
      <c r="X13" s="82">
        <f>'RCA data'!Y6</f>
        <v>1.6250000000000001E-2</v>
      </c>
      <c r="Y13" s="82">
        <f>'RCA data'!Z6</f>
        <v>1.6250000000000001E-2</v>
      </c>
      <c r="Z13" s="244">
        <f>'RCA data'!AA6</f>
        <v>1.6250000000000001E-2</v>
      </c>
    </row>
    <row r="14" spans="1:26" x14ac:dyDescent="0.2">
      <c r="A14" s="25" t="s">
        <v>56</v>
      </c>
      <c r="B14" s="8" t="s">
        <v>31</v>
      </c>
      <c r="C14" s="26">
        <f t="shared" ref="C14:J14" si="2">C12*C13</f>
        <v>16.314375000000002</v>
      </c>
      <c r="D14" s="26">
        <f t="shared" si="2"/>
        <v>13.853125</v>
      </c>
      <c r="E14" s="26">
        <f t="shared" si="2"/>
        <v>11.636249999999999</v>
      </c>
      <c r="F14" s="26">
        <f t="shared" si="2"/>
        <v>10.023750000000001</v>
      </c>
      <c r="G14" s="26">
        <f t="shared" si="2"/>
        <v>7.75</v>
      </c>
      <c r="H14" s="26">
        <f t="shared" si="2"/>
        <v>10.7415</v>
      </c>
      <c r="I14" s="26">
        <f t="shared" si="2"/>
        <v>11.112797499999999</v>
      </c>
      <c r="J14" s="26">
        <f t="shared" si="2"/>
        <v>13.632789750000001</v>
      </c>
      <c r="K14" s="130">
        <f t="shared" ref="K14:X14" si="3">K12*K13</f>
        <v>4.3366431250000002</v>
      </c>
      <c r="L14" s="130">
        <f t="shared" si="3"/>
        <v>4.4408170000000009</v>
      </c>
      <c r="M14" s="130">
        <f t="shared" si="3"/>
        <v>3.9929789999999996</v>
      </c>
      <c r="N14" s="130">
        <f t="shared" si="3"/>
        <v>4.8987052499999999</v>
      </c>
      <c r="O14" s="130">
        <f t="shared" si="3"/>
        <v>4.9792900000000007</v>
      </c>
      <c r="P14" s="130">
        <f t="shared" si="3"/>
        <v>4.6010800000000005</v>
      </c>
      <c r="Q14" s="130">
        <f t="shared" si="3"/>
        <v>6.8999195000000002</v>
      </c>
      <c r="R14" s="130">
        <f t="shared" si="3"/>
        <v>7.8596223749999989</v>
      </c>
      <c r="S14" s="130">
        <f t="shared" si="3"/>
        <v>6.7335725000000011</v>
      </c>
      <c r="T14" s="130">
        <f t="shared" si="3"/>
        <v>6.5199250000000006</v>
      </c>
      <c r="U14" s="130">
        <f t="shared" si="3"/>
        <v>7.2052364999999998</v>
      </c>
      <c r="V14" s="503">
        <f t="shared" si="3"/>
        <v>5.493497500000001</v>
      </c>
      <c r="W14" s="83">
        <f t="shared" si="3"/>
        <v>4.9913298500000005</v>
      </c>
      <c r="X14" s="83">
        <f t="shared" si="3"/>
        <v>5.0077344590000008</v>
      </c>
      <c r="Y14" s="83">
        <f>Y12*Y13</f>
        <v>5.0248108782990633</v>
      </c>
      <c r="Z14" s="245">
        <f>Z12*Z13</f>
        <v>5.0426104984185596</v>
      </c>
    </row>
  </sheetData>
  <phoneticPr fontId="0" type="noConversion"/>
  <pageMargins left="1" right="1" top="1" bottom="1" header="0.5" footer="0.5"/>
  <pageSetup paperSize="5" scale="61" orientation="landscape" r:id="rId1"/>
  <headerFooter alignWithMargins="0">
    <oddFooter>&amp;L&amp;"Arial,Bold"&amp;F&amp;C&amp;A&amp;R&amp;D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104"/>
  <sheetViews>
    <sheetView zoomScaleNormal="100" workbookViewId="0">
      <pane xSplit="1" ySplit="5" topLeftCell="B6" activePane="bottomRight" state="frozen"/>
      <selection activeCell="AF39" sqref="AF39"/>
      <selection pane="topRight" activeCell="AF39" sqref="AF39"/>
      <selection pane="bottomLeft" activeCell="AF39" sqref="AF39"/>
      <selection pane="bottomRight" activeCell="A47" sqref="A47"/>
    </sheetView>
  </sheetViews>
  <sheetFormatPr baseColWidth="10" defaultColWidth="9.140625" defaultRowHeight="12.75" x14ac:dyDescent="0.2"/>
  <cols>
    <col min="1" max="1" width="55.140625" customWidth="1"/>
    <col min="2" max="2" width="20.28515625" customWidth="1"/>
    <col min="3" max="3" width="10.85546875" customWidth="1"/>
    <col min="4" max="10" width="9.28515625" bestFit="1" customWidth="1"/>
    <col min="11" max="11" width="10" customWidth="1"/>
    <col min="12" max="12" width="10.140625" customWidth="1"/>
    <col min="13" max="13" width="9.28515625" bestFit="1" customWidth="1"/>
    <col min="14" max="14" width="10.42578125" customWidth="1"/>
    <col min="16" max="16" width="10.85546875" style="116" bestFit="1" customWidth="1"/>
    <col min="17" max="18" width="11.42578125" style="116" bestFit="1" customWidth="1"/>
    <col min="19" max="19" width="10.42578125" style="116" customWidth="1"/>
    <col min="20" max="20" width="9.7109375" style="116" customWidth="1"/>
    <col min="21" max="21" width="10.42578125" style="116" customWidth="1"/>
    <col min="22" max="22" width="11" style="116" customWidth="1"/>
    <col min="23" max="23" width="10.42578125" style="116" customWidth="1"/>
    <col min="24" max="25" width="12" style="116" customWidth="1"/>
    <col min="26" max="26" width="10.42578125" style="116" bestFit="1" customWidth="1"/>
    <col min="27" max="27" width="10.42578125" style="345" bestFit="1" customWidth="1"/>
    <col min="28" max="30" width="9.7109375" style="76" bestFit="1" customWidth="1"/>
    <col min="31" max="31" width="10.42578125" style="239" bestFit="1" customWidth="1"/>
    <col min="49" max="49" width="9.140625" style="177"/>
  </cols>
  <sheetData>
    <row r="1" spans="1:49" ht="15.75" x14ac:dyDescent="0.25">
      <c r="A1" s="18" t="s">
        <v>67</v>
      </c>
      <c r="B1" s="18"/>
    </row>
    <row r="2" spans="1:49" ht="15.75" x14ac:dyDescent="0.25">
      <c r="A2" s="2" t="s">
        <v>105</v>
      </c>
      <c r="B2" s="18"/>
    </row>
    <row r="3" spans="1:49" ht="15.75" x14ac:dyDescent="0.25">
      <c r="A3" s="2" t="s">
        <v>146</v>
      </c>
      <c r="B3" s="18"/>
    </row>
    <row r="4" spans="1:49" x14ac:dyDescent="0.2">
      <c r="Y4" s="346" t="s">
        <v>178</v>
      </c>
      <c r="Z4" s="346" t="s">
        <v>294</v>
      </c>
      <c r="AA4" s="344" t="s">
        <v>309</v>
      </c>
      <c r="AB4" s="316" t="s">
        <v>315</v>
      </c>
      <c r="AC4" s="316" t="s">
        <v>316</v>
      </c>
      <c r="AD4" s="316" t="s">
        <v>317</v>
      </c>
      <c r="AE4" s="317" t="s">
        <v>318</v>
      </c>
    </row>
    <row r="5" spans="1:49" s="2" customFormat="1" ht="13.5" thickBot="1" x14ac:dyDescent="0.25">
      <c r="A5" s="19" t="s">
        <v>1</v>
      </c>
      <c r="B5" s="20" t="s">
        <v>26</v>
      </c>
      <c r="C5" s="20">
        <v>1991</v>
      </c>
      <c r="D5" s="20">
        <v>1992</v>
      </c>
      <c r="E5" s="20">
        <v>1993</v>
      </c>
      <c r="F5" s="20">
        <v>1994</v>
      </c>
      <c r="G5" s="20">
        <v>1995</v>
      </c>
      <c r="H5" s="20">
        <v>1996</v>
      </c>
      <c r="I5" s="20">
        <v>1997</v>
      </c>
      <c r="J5" s="20">
        <v>1998</v>
      </c>
      <c r="K5" s="20">
        <v>1999</v>
      </c>
      <c r="L5" s="20">
        <v>2000</v>
      </c>
      <c r="M5" s="20">
        <v>2001</v>
      </c>
      <c r="N5" s="20">
        <v>2002</v>
      </c>
      <c r="O5" s="20">
        <v>2003</v>
      </c>
      <c r="P5" s="117">
        <v>2004</v>
      </c>
      <c r="Q5" s="117">
        <v>2005</v>
      </c>
      <c r="R5" s="117">
        <v>2006</v>
      </c>
      <c r="S5" s="117">
        <v>2007</v>
      </c>
      <c r="T5" s="117">
        <v>2008</v>
      </c>
      <c r="U5" s="117">
        <v>2009</v>
      </c>
      <c r="V5" s="117">
        <v>2010</v>
      </c>
      <c r="W5" s="117">
        <v>2011</v>
      </c>
      <c r="X5" s="117">
        <v>2012</v>
      </c>
      <c r="Y5" s="117">
        <v>2013</v>
      </c>
      <c r="Z5" s="117">
        <v>2014</v>
      </c>
      <c r="AA5" s="349">
        <v>2015</v>
      </c>
      <c r="AB5" s="77">
        <v>2016</v>
      </c>
      <c r="AC5" s="77">
        <v>2017</v>
      </c>
      <c r="AD5" s="77">
        <v>2018</v>
      </c>
      <c r="AE5" s="240">
        <v>2019</v>
      </c>
      <c r="AF5" s="20">
        <v>2020</v>
      </c>
      <c r="AG5" s="20">
        <v>2021</v>
      </c>
      <c r="AH5" s="20">
        <v>2022</v>
      </c>
      <c r="AI5" s="20">
        <v>2023</v>
      </c>
      <c r="AJ5" s="20">
        <v>2024</v>
      </c>
      <c r="AK5" s="20">
        <v>2025</v>
      </c>
      <c r="AL5" s="20">
        <v>2026</v>
      </c>
      <c r="AM5" s="20">
        <v>2027</v>
      </c>
      <c r="AN5" s="20">
        <v>2028</v>
      </c>
      <c r="AO5" s="20">
        <v>2029</v>
      </c>
      <c r="AP5" s="20">
        <v>2030</v>
      </c>
      <c r="AQ5" s="20">
        <v>2031</v>
      </c>
      <c r="AR5" s="20">
        <v>2032</v>
      </c>
      <c r="AS5" s="20">
        <v>2033</v>
      </c>
      <c r="AT5" s="73"/>
      <c r="AU5" s="73"/>
      <c r="AW5" s="178" t="s">
        <v>298</v>
      </c>
    </row>
    <row r="8" spans="1:49" x14ac:dyDescent="0.2">
      <c r="A8" s="28" t="s">
        <v>69</v>
      </c>
    </row>
    <row r="9" spans="1:49" s="3" customFormat="1" x14ac:dyDescent="0.2">
      <c r="A9" s="3" t="s">
        <v>48</v>
      </c>
      <c r="B9" s="3" t="s">
        <v>49</v>
      </c>
      <c r="C9" s="3">
        <f>'Data Input'!D12</f>
        <v>24391</v>
      </c>
      <c r="D9" s="3">
        <f>'Data Input'!E12</f>
        <v>27479</v>
      </c>
      <c r="E9" s="3">
        <f>'Data Input'!F12</f>
        <v>30781</v>
      </c>
      <c r="F9" s="3">
        <f>'Data Input'!G12</f>
        <v>33998</v>
      </c>
      <c r="G9" s="3">
        <f>'Data Input'!H12</f>
        <v>36848</v>
      </c>
      <c r="H9" s="3">
        <f>'Data Input'!I12</f>
        <v>39007</v>
      </c>
      <c r="I9" s="3">
        <f>'Data Input'!J12</f>
        <v>41833</v>
      </c>
      <c r="J9" s="3">
        <f>'Data Input'!K12</f>
        <v>46470</v>
      </c>
      <c r="K9" s="3">
        <f>'Data Input'!L12</f>
        <v>48635</v>
      </c>
      <c r="L9" s="3">
        <f>'Data Input'!M12</f>
        <v>50346</v>
      </c>
      <c r="M9" s="3">
        <f>'Data Input'!N12</f>
        <v>55087</v>
      </c>
      <c r="N9" s="3">
        <f>'Data Input'!O12</f>
        <v>64369</v>
      </c>
      <c r="O9" s="3">
        <f>'Data Input'!P12</f>
        <v>67319</v>
      </c>
      <c r="P9" s="122">
        <f>'Data Input'!Q12</f>
        <v>71009</v>
      </c>
      <c r="Q9" s="122">
        <f>'Data Input'!R12</f>
        <v>74089</v>
      </c>
      <c r="R9" s="122">
        <f>'Data Input'!S12</f>
        <v>80371</v>
      </c>
      <c r="S9" s="122">
        <f>'Data Input'!T12</f>
        <v>83120</v>
      </c>
      <c r="T9" s="122">
        <f>'Data Input'!U12</f>
        <v>88356</v>
      </c>
      <c r="U9" s="122">
        <f>'Data Input'!V12</f>
        <v>92022</v>
      </c>
      <c r="V9" s="122">
        <f>'Data Input'!W12</f>
        <v>96608</v>
      </c>
      <c r="W9" s="122">
        <f>'Data Input'!X12</f>
        <v>99117</v>
      </c>
      <c r="X9" s="122">
        <f>'Data Input'!Y12</f>
        <v>103693</v>
      </c>
      <c r="Y9" s="122">
        <f>'Data Input'!Z12</f>
        <v>105954</v>
      </c>
      <c r="Z9" s="122">
        <f>'Data Input'!AA12</f>
        <v>109524</v>
      </c>
      <c r="AA9" s="352">
        <f>'Data Input'!AB12</f>
        <v>113801</v>
      </c>
      <c r="AB9" s="79">
        <f>'Data Input'!AC12</f>
        <v>116367</v>
      </c>
      <c r="AC9" s="79">
        <f>'Data Input'!AD12</f>
        <v>120891.15773981952</v>
      </c>
      <c r="AD9" s="79">
        <f>'Data Input'!AE12</f>
        <v>125674.54587496544</v>
      </c>
      <c r="AE9" s="241">
        <f>'Data Input'!AF12</f>
        <v>130724.77615093655</v>
      </c>
      <c r="AW9" s="179"/>
    </row>
    <row r="10" spans="1:49" s="3" customFormat="1" x14ac:dyDescent="0.2">
      <c r="A10" s="3" t="s">
        <v>70</v>
      </c>
      <c r="B10" s="3" t="s">
        <v>49</v>
      </c>
      <c r="C10" s="3">
        <f>'Data Input'!E14</f>
        <v>1180</v>
      </c>
      <c r="D10" s="3">
        <f>'Data Input'!F14</f>
        <v>1188</v>
      </c>
      <c r="E10" s="3">
        <f>'Data Input'!G14</f>
        <v>1170</v>
      </c>
      <c r="F10" s="3">
        <f>'Data Input'!H14</f>
        <v>1292</v>
      </c>
      <c r="G10" s="3">
        <f>'Data Input'!I14</f>
        <v>1363</v>
      </c>
      <c r="H10" s="3">
        <f>'Data Input'!J14</f>
        <v>1337</v>
      </c>
      <c r="I10" s="3">
        <f>'Data Input'!K14</f>
        <v>1204</v>
      </c>
      <c r="J10" s="3">
        <f>'Data Input'!L14</f>
        <v>1305</v>
      </c>
      <c r="K10" s="3">
        <f>'Data Input'!M14</f>
        <v>1301</v>
      </c>
      <c r="L10" s="3">
        <f>'Data Input'!N14</f>
        <v>1300</v>
      </c>
      <c r="M10" s="3">
        <f>'Data Input'!O14</f>
        <v>1539</v>
      </c>
      <c r="N10" s="3">
        <f>'Data Input'!P14</f>
        <v>1695</v>
      </c>
      <c r="O10" s="3">
        <f>'Data Input'!Q14</f>
        <v>1735</v>
      </c>
      <c r="P10" s="122">
        <f>'Data Input'!R14</f>
        <v>1756</v>
      </c>
      <c r="Q10" s="122">
        <f>'Data Input'!S14</f>
        <v>1909</v>
      </c>
      <c r="R10" s="122">
        <f>'Data Input'!T14</f>
        <v>1995</v>
      </c>
      <c r="S10" s="122">
        <f>'Data Input'!U14</f>
        <v>2102</v>
      </c>
      <c r="T10" s="122">
        <f>'Data Input'!V14</f>
        <v>2236</v>
      </c>
      <c r="U10" s="122">
        <f>'Data Input'!W14</f>
        <v>2349</v>
      </c>
      <c r="V10" s="122">
        <f>'Data Input'!X14</f>
        <v>2434</v>
      </c>
      <c r="W10" s="122">
        <f>'Data Input'!Y14</f>
        <v>2565</v>
      </c>
      <c r="X10" s="122">
        <f>'Data Input'!Z14</f>
        <v>2791</v>
      </c>
      <c r="Y10" s="122">
        <f>'Data Input'!AA14</f>
        <v>2654</v>
      </c>
      <c r="Z10" s="122">
        <f>'Data Input'!AB14</f>
        <v>2924</v>
      </c>
      <c r="AA10" s="352">
        <f>'Data Input'!AC14</f>
        <v>2902</v>
      </c>
      <c r="AB10" s="79">
        <f>'Data Input'!AD14</f>
        <v>3023.59375</v>
      </c>
      <c r="AC10" s="79">
        <f>'Data Input'!AE14</f>
        <v>3262.1026904296868</v>
      </c>
      <c r="AD10" s="79">
        <f>'Data Input'!AF14</f>
        <v>3500.4040891754139</v>
      </c>
      <c r="AE10" s="241">
        <f>'Data Input'!AG14</f>
        <v>3756.0074825188831</v>
      </c>
      <c r="AW10" s="179"/>
    </row>
    <row r="11" spans="1:49" s="122" customFormat="1" x14ac:dyDescent="0.2">
      <c r="A11" s="122" t="s">
        <v>341</v>
      </c>
      <c r="R11" s="122">
        <f>'Data Input'!T15</f>
        <v>17</v>
      </c>
      <c r="S11" s="122">
        <f>'Data Input'!U15</f>
        <v>19</v>
      </c>
      <c r="T11" s="122">
        <f>'Data Input'!V15</f>
        <v>17</v>
      </c>
      <c r="U11" s="122">
        <f>'Data Input'!W15</f>
        <v>13</v>
      </c>
      <c r="V11" s="122">
        <f>'Data Input'!X15</f>
        <v>11</v>
      </c>
      <c r="W11" s="122">
        <f>'Data Input'!Y15</f>
        <v>15</v>
      </c>
      <c r="X11" s="122">
        <f>'Data Input'!Z15</f>
        <v>13</v>
      </c>
      <c r="Y11" s="122">
        <f>'Data Input'!AA15</f>
        <v>13</v>
      </c>
      <c r="Z11" s="122">
        <f>'Data Input'!AB15</f>
        <v>13</v>
      </c>
      <c r="AA11" s="352">
        <f>'Data Input'!AC15</f>
        <v>14</v>
      </c>
      <c r="AB11" s="79">
        <f>'Data Input'!AD15</f>
        <v>13</v>
      </c>
      <c r="AC11" s="79">
        <f>'Data Input'!AE15</f>
        <v>13</v>
      </c>
      <c r="AD11" s="79">
        <f>'Data Input'!AF15</f>
        <v>13</v>
      </c>
      <c r="AE11" s="241">
        <f>'Data Input'!AG15</f>
        <v>13</v>
      </c>
      <c r="AW11" s="319"/>
    </row>
    <row r="12" spans="1:49" s="3" customFormat="1" x14ac:dyDescent="0.2">
      <c r="A12" s="3" t="s">
        <v>71</v>
      </c>
      <c r="B12" s="3" t="s">
        <v>49</v>
      </c>
      <c r="C12" s="3">
        <f>'Data Input'!E16</f>
        <v>0</v>
      </c>
      <c r="D12" s="3">
        <f>'Data Input'!F16</f>
        <v>0</v>
      </c>
      <c r="E12" s="3">
        <f>'Data Input'!G16</f>
        <v>0</v>
      </c>
      <c r="F12" s="3">
        <f>'Data Input'!H16</f>
        <v>0</v>
      </c>
      <c r="G12" s="3">
        <f>'Data Input'!I16</f>
        <v>0</v>
      </c>
      <c r="H12" s="3">
        <f>'Data Input'!J16</f>
        <v>258</v>
      </c>
      <c r="I12" s="3">
        <f>'Data Input'!K16</f>
        <v>2013</v>
      </c>
      <c r="J12" s="3">
        <f>'Data Input'!L16</f>
        <v>0</v>
      </c>
      <c r="K12" s="3">
        <f>'Data Input'!M16</f>
        <v>0</v>
      </c>
      <c r="L12" s="3">
        <f>'Data Input'!N16</f>
        <v>0</v>
      </c>
      <c r="M12" s="3">
        <f>'Data Input'!O16</f>
        <v>4519</v>
      </c>
      <c r="N12" s="3">
        <f>'Data Input'!P16</f>
        <v>0</v>
      </c>
      <c r="O12" s="3">
        <f>'Data Input'!Q16</f>
        <v>0</v>
      </c>
      <c r="P12" s="122">
        <f>'Data Input'!R16</f>
        <v>0</v>
      </c>
      <c r="Q12" s="122">
        <f>'Data Input'!S16</f>
        <v>0</v>
      </c>
      <c r="R12" s="122">
        <f>'Data Input'!T16</f>
        <v>0</v>
      </c>
      <c r="S12" s="122">
        <f>'Data Input'!U16</f>
        <v>0</v>
      </c>
      <c r="T12" s="122">
        <f>'Data Input'!V16</f>
        <v>0</v>
      </c>
      <c r="U12" s="122">
        <f>'Data Input'!W16</f>
        <v>0</v>
      </c>
      <c r="V12" s="122">
        <f>'Data Input'!X16</f>
        <v>0</v>
      </c>
      <c r="W12" s="122">
        <f>'Data Input'!Y16</f>
        <v>0</v>
      </c>
      <c r="X12" s="122">
        <f>'Data Input'!Z16</f>
        <v>0</v>
      </c>
      <c r="Y12" s="122">
        <f>'Data Input'!AA16</f>
        <v>0</v>
      </c>
      <c r="Z12" s="122">
        <f>'Data Input'!AB16</f>
        <v>0</v>
      </c>
      <c r="AA12" s="352">
        <f>'Data Input'!AC16</f>
        <v>0</v>
      </c>
      <c r="AB12" s="79">
        <f>'Data Input'!AD16</f>
        <v>0</v>
      </c>
      <c r="AC12" s="79">
        <f>'Data Input'!AE16</f>
        <v>0</v>
      </c>
      <c r="AD12" s="79">
        <f>'Data Input'!AF16</f>
        <v>0</v>
      </c>
      <c r="AE12" s="241">
        <f>'Data Input'!AG16</f>
        <v>0</v>
      </c>
      <c r="AW12" s="179"/>
    </row>
    <row r="13" spans="1:49" s="3" customFormat="1" x14ac:dyDescent="0.2">
      <c r="A13" s="3" t="s">
        <v>72</v>
      </c>
      <c r="B13" s="3" t="s">
        <v>73</v>
      </c>
      <c r="C13" s="3">
        <f>Interest!D15</f>
        <v>2518.0662499999999</v>
      </c>
      <c r="D13" s="3">
        <f>Interest!E15</f>
        <v>2623.1875</v>
      </c>
      <c r="E13" s="3">
        <f>Interest!F15</f>
        <v>2700.7312499999998</v>
      </c>
      <c r="F13" s="3">
        <f>Interest!G15</f>
        <v>2981.9124999999999</v>
      </c>
      <c r="G13" s="3">
        <f>Interest!H15</f>
        <v>3044.1675</v>
      </c>
      <c r="H13" s="3">
        <f>Interest!I15</f>
        <v>3221.1712500000003</v>
      </c>
      <c r="I13" s="3">
        <f>Interest!J15</f>
        <v>3296.8887500000001</v>
      </c>
      <c r="J13" s="3">
        <f>Interest!K15</f>
        <v>3353.9224999999997</v>
      </c>
      <c r="K13" s="3">
        <f>Interest!L15</f>
        <v>3490.6212499999997</v>
      </c>
      <c r="L13" s="3">
        <f>Interest!M15</f>
        <v>3480.7850000000003</v>
      </c>
      <c r="M13" s="3">
        <f>Interest!N15</f>
        <v>3960</v>
      </c>
      <c r="N13" s="3">
        <f>Interest!O15</f>
        <v>4457.4950000000008</v>
      </c>
      <c r="O13" s="3">
        <f>Interest!P15</f>
        <v>4661.09</v>
      </c>
      <c r="P13" s="122">
        <f>Interest!Q15</f>
        <v>4912.1100000000006</v>
      </c>
      <c r="Q13" s="122">
        <f>Interest!R15</f>
        <v>5126.3450000000003</v>
      </c>
      <c r="R13" s="122">
        <f>Interest!S15</f>
        <v>5364.09</v>
      </c>
      <c r="S13" s="122">
        <f>Interest!T15</f>
        <v>5546.50875</v>
      </c>
      <c r="T13" s="122">
        <f>Interest!U15</f>
        <v>5898.5212500000007</v>
      </c>
      <c r="U13" s="122">
        <f>Interest!V15</f>
        <v>6142.9725000000008</v>
      </c>
      <c r="V13" s="122">
        <f>Interest!W15</f>
        <v>6451.6837500000001</v>
      </c>
      <c r="W13" s="122">
        <f>Interest!X15</f>
        <v>6620.0962500000005</v>
      </c>
      <c r="X13" s="122">
        <f>Interest!Y15</f>
        <v>6927.7275000000009</v>
      </c>
      <c r="Y13" s="122">
        <f>Interest!Z15</f>
        <v>7068.0937500000009</v>
      </c>
      <c r="Z13" s="122">
        <f>Interest!AA15</f>
        <v>7312.9162500000002</v>
      </c>
      <c r="AA13" s="352">
        <f>Interest!AB15</f>
        <v>7311.915</v>
      </c>
      <c r="AB13" s="79">
        <f>Interest!AC15</f>
        <v>7189.8691871818601</v>
      </c>
      <c r="AC13" s="79">
        <f>Interest!AD15</f>
        <v>7472.1518078976851</v>
      </c>
      <c r="AD13" s="79">
        <f>Interest!AE15</f>
        <v>7770.3354924969935</v>
      </c>
      <c r="AE13" s="241">
        <f>Interest!AF15</f>
        <v>8085.4618421636733</v>
      </c>
      <c r="AW13" s="179"/>
    </row>
    <row r="14" spans="1:49" s="3" customFormat="1" x14ac:dyDescent="0.2">
      <c r="A14" s="3" t="s">
        <v>74</v>
      </c>
      <c r="B14" s="3" t="s">
        <v>49</v>
      </c>
      <c r="C14" s="6">
        <f>'Data Input'!E18</f>
        <v>-829</v>
      </c>
      <c r="D14" s="6">
        <f>'Data Input'!F18</f>
        <v>-921</v>
      </c>
      <c r="E14" s="6">
        <f>'Data Input'!G18</f>
        <v>-1001</v>
      </c>
      <c r="F14" s="6">
        <f>'Data Input'!H18</f>
        <v>-1130</v>
      </c>
      <c r="G14" s="6">
        <f>'Data Input'!I18</f>
        <v>-1261</v>
      </c>
      <c r="H14" s="6">
        <f>'Data Input'!J18</f>
        <v>-1520</v>
      </c>
      <c r="I14" s="6">
        <f>'Data Input'!K18</f>
        <v>-1802</v>
      </c>
      <c r="J14" s="6">
        <f>'Data Input'!L18</f>
        <v>-2103</v>
      </c>
      <c r="K14" s="6">
        <f>'Data Input'!M18</f>
        <v>-2278</v>
      </c>
      <c r="L14" s="6">
        <f>'Data Input'!N18</f>
        <v>-2541</v>
      </c>
      <c r="M14" s="6">
        <f>'Data Input'!O18</f>
        <v>-3080</v>
      </c>
      <c r="N14" s="6">
        <f>'Data Input'!P18</f>
        <v>-3076</v>
      </c>
      <c r="O14" s="6">
        <f>'Data Input'!Q18</f>
        <v>-3199</v>
      </c>
      <c r="P14" s="126">
        <f>'Data Input'!R18</f>
        <v>-3428</v>
      </c>
      <c r="Q14" s="126">
        <f>'Data Input'!S18</f>
        <v>-3620</v>
      </c>
      <c r="R14" s="126">
        <f>'Data Input'!T18</f>
        <v>-3818</v>
      </c>
      <c r="S14" s="126">
        <f>'Data Input'!U18</f>
        <v>-4020</v>
      </c>
      <c r="T14" s="126">
        <f>'Data Input'!V18</f>
        <v>-4194</v>
      </c>
      <c r="U14" s="126">
        <f>'Data Input'!W18</f>
        <v>-4392</v>
      </c>
      <c r="V14" s="126">
        <f>'Data Input'!X18</f>
        <v>-4500</v>
      </c>
      <c r="W14" s="126">
        <f>'Data Input'!Y18</f>
        <v>-4663</v>
      </c>
      <c r="X14" s="126">
        <f>'Data Input'!Z18</f>
        <v>-4924</v>
      </c>
      <c r="Y14" s="126">
        <f>'Data Input'!AA18</f>
        <v>-5150</v>
      </c>
      <c r="Z14" s="126">
        <f>'Data Input'!AB18</f>
        <v>-5306</v>
      </c>
      <c r="AA14" s="353">
        <f>'Data Input'!AC18</f>
        <v>-5536</v>
      </c>
      <c r="AB14" s="81">
        <f>'Data Input'!AD18</f>
        <v>-5694.7797601804714</v>
      </c>
      <c r="AC14" s="81">
        <f>'Data Input'!AE18</f>
        <v>-5948.560317342809</v>
      </c>
      <c r="AD14" s="81">
        <f>'Data Input'!AF18</f>
        <v>-6211.7600792025059</v>
      </c>
      <c r="AE14" s="242">
        <f>'Data Input'!AG18</f>
        <v>-6483.78083515448</v>
      </c>
      <c r="AW14" s="179"/>
    </row>
    <row r="15" spans="1:49" s="8" customFormat="1" x14ac:dyDescent="0.2">
      <c r="A15" s="8" t="s">
        <v>297</v>
      </c>
      <c r="B15" s="8" t="s">
        <v>31</v>
      </c>
      <c r="C15" s="8">
        <f>SUM(C9:C14)</f>
        <v>27260.06625</v>
      </c>
      <c r="D15" s="8">
        <f t="shared" ref="D15:P15" si="0">SUM(D9:D14)</f>
        <v>30369.1875</v>
      </c>
      <c r="E15" s="8">
        <f t="shared" si="0"/>
        <v>33650.731249999997</v>
      </c>
      <c r="F15" s="8">
        <f t="shared" si="0"/>
        <v>37141.912499999999</v>
      </c>
      <c r="G15" s="8">
        <f t="shared" si="0"/>
        <v>39994.167500000003</v>
      </c>
      <c r="H15" s="8">
        <f t="shared" si="0"/>
        <v>42303.171249999999</v>
      </c>
      <c r="I15" s="8">
        <f t="shared" si="0"/>
        <v>46544.888749999998</v>
      </c>
      <c r="J15" s="8">
        <f t="shared" si="0"/>
        <v>49025.922500000001</v>
      </c>
      <c r="K15" s="8">
        <f t="shared" si="0"/>
        <v>51148.621249999997</v>
      </c>
      <c r="L15" s="8">
        <f t="shared" si="0"/>
        <v>52585.785000000003</v>
      </c>
      <c r="M15" s="8">
        <f t="shared" si="0"/>
        <v>62025</v>
      </c>
      <c r="N15" s="8">
        <f t="shared" si="0"/>
        <v>67445.494999999995</v>
      </c>
      <c r="O15" s="8">
        <f t="shared" si="0"/>
        <v>70516.09</v>
      </c>
      <c r="P15" s="120">
        <f t="shared" si="0"/>
        <v>74249.11</v>
      </c>
      <c r="Q15" s="120">
        <f t="shared" ref="Q15:AC15" si="1">SUM(Q9:Q14)</f>
        <v>77504.345000000001</v>
      </c>
      <c r="R15" s="120">
        <f t="shared" si="1"/>
        <v>83929.09</v>
      </c>
      <c r="S15" s="120">
        <f t="shared" si="1"/>
        <v>86767.508749999994</v>
      </c>
      <c r="T15" s="120">
        <f t="shared" si="1"/>
        <v>92313.521250000005</v>
      </c>
      <c r="U15" s="120">
        <f t="shared" si="1"/>
        <v>96134.972500000003</v>
      </c>
      <c r="V15" s="120">
        <f t="shared" si="1"/>
        <v>101004.68375</v>
      </c>
      <c r="W15" s="120">
        <f t="shared" si="1"/>
        <v>103654.09625</v>
      </c>
      <c r="X15" s="120">
        <f t="shared" si="1"/>
        <v>108500.72750000001</v>
      </c>
      <c r="Y15" s="120">
        <f t="shared" si="1"/>
        <v>110539.09375</v>
      </c>
      <c r="Z15" s="120">
        <f t="shared" si="1"/>
        <v>114467.91624999999</v>
      </c>
      <c r="AA15" s="350">
        <f t="shared" si="1"/>
        <v>118492.91499999999</v>
      </c>
      <c r="AB15" s="78">
        <f t="shared" si="1"/>
        <v>120898.68317700138</v>
      </c>
      <c r="AC15" s="78">
        <f t="shared" si="1"/>
        <v>125689.8519208041</v>
      </c>
      <c r="AD15" s="78">
        <f t="shared" ref="AD15:AE15" si="2">SUM(AD9:AD14)</f>
        <v>130746.52537743535</v>
      </c>
      <c r="AE15" s="243">
        <f t="shared" si="2"/>
        <v>136095.46464046463</v>
      </c>
      <c r="AW15" s="180"/>
    </row>
    <row r="16" spans="1:49" s="3" customFormat="1" x14ac:dyDescent="0.2">
      <c r="A16" s="3" t="s">
        <v>75</v>
      </c>
      <c r="B16" s="3" t="s">
        <v>49</v>
      </c>
      <c r="C16" s="6">
        <f>'Data Input'!E12</f>
        <v>27479</v>
      </c>
      <c r="D16" s="6">
        <f>'Data Input'!F12</f>
        <v>30781</v>
      </c>
      <c r="E16" s="6">
        <f>'Data Input'!G12</f>
        <v>33998</v>
      </c>
      <c r="F16" s="6">
        <f>'Data Input'!H12</f>
        <v>36848</v>
      </c>
      <c r="G16" s="6">
        <f>'Data Input'!I12</f>
        <v>39007</v>
      </c>
      <c r="H16" s="6">
        <f>'Data Input'!J12</f>
        <v>41833</v>
      </c>
      <c r="I16" s="6">
        <f>'Data Input'!K12</f>
        <v>46470</v>
      </c>
      <c r="J16" s="6">
        <f>'Data Input'!L12</f>
        <v>48635</v>
      </c>
      <c r="K16" s="6">
        <f>'Data Input'!M12</f>
        <v>50346</v>
      </c>
      <c r="L16" s="6">
        <f>'Data Input'!N12</f>
        <v>55087</v>
      </c>
      <c r="M16" s="6">
        <f>'Data Input'!O12</f>
        <v>64369</v>
      </c>
      <c r="N16" s="6">
        <f>'Data Input'!P12</f>
        <v>67319</v>
      </c>
      <c r="O16" s="6">
        <f>'Data Input'!Q12</f>
        <v>71009</v>
      </c>
      <c r="P16" s="126">
        <f>'Data Input'!R12</f>
        <v>74089</v>
      </c>
      <c r="Q16" s="126">
        <f>'Data Input'!S12</f>
        <v>80371</v>
      </c>
      <c r="R16" s="126">
        <f>'Data Input'!T12</f>
        <v>83120</v>
      </c>
      <c r="S16" s="126">
        <f>'Data Input'!U12</f>
        <v>88356</v>
      </c>
      <c r="T16" s="126">
        <f>'Data Input'!V12</f>
        <v>92022</v>
      </c>
      <c r="U16" s="126">
        <f>'Data Input'!W12</f>
        <v>96608</v>
      </c>
      <c r="V16" s="126">
        <f>'Data Input'!X12</f>
        <v>99117</v>
      </c>
      <c r="W16" s="126">
        <f>'Data Input'!Y12</f>
        <v>103693</v>
      </c>
      <c r="X16" s="126">
        <f>'Data Input'!Z12</f>
        <v>105954</v>
      </c>
      <c r="Y16" s="126">
        <f>'Data Input'!AA12</f>
        <v>109524</v>
      </c>
      <c r="Z16" s="126">
        <f>'Data Input'!AB12</f>
        <v>113801</v>
      </c>
      <c r="AA16" s="353">
        <f>'Data Input'!AC12</f>
        <v>116367</v>
      </c>
      <c r="AB16" s="81">
        <f>'Data Input'!AD12</f>
        <v>120891.15773981952</v>
      </c>
      <c r="AC16" s="81">
        <f>'Data Input'!AE12</f>
        <v>125674.54587496544</v>
      </c>
      <c r="AD16" s="81">
        <f>'Data Input'!AF12</f>
        <v>130724.77615093655</v>
      </c>
      <c r="AE16" s="242">
        <f>'Data Input'!AG12</f>
        <v>136066.48289917331</v>
      </c>
      <c r="AW16" s="179"/>
    </row>
    <row r="17" spans="1:49" s="25" customFormat="1" x14ac:dyDescent="0.2">
      <c r="A17" s="25" t="s">
        <v>76</v>
      </c>
      <c r="B17" s="8" t="s">
        <v>31</v>
      </c>
      <c r="C17" s="26">
        <f>C15-C16</f>
        <v>-218.93375000000015</v>
      </c>
      <c r="D17" s="26">
        <f t="shared" ref="D17:P17" si="3">D15-D16</f>
        <v>-411.8125</v>
      </c>
      <c r="E17" s="26">
        <f t="shared" si="3"/>
        <v>-347.26875000000291</v>
      </c>
      <c r="F17" s="26">
        <f t="shared" si="3"/>
        <v>293.91249999999854</v>
      </c>
      <c r="G17" s="26">
        <f t="shared" si="3"/>
        <v>987.1675000000032</v>
      </c>
      <c r="H17" s="26">
        <f t="shared" si="3"/>
        <v>470.17124999999942</v>
      </c>
      <c r="I17" s="26">
        <f t="shared" si="3"/>
        <v>74.888749999998254</v>
      </c>
      <c r="J17" s="26">
        <f t="shared" si="3"/>
        <v>390.92250000000058</v>
      </c>
      <c r="K17" s="26">
        <f t="shared" si="3"/>
        <v>802.62124999999651</v>
      </c>
      <c r="L17" s="26">
        <f t="shared" si="3"/>
        <v>-2501.2149999999965</v>
      </c>
      <c r="M17" s="26">
        <f t="shared" si="3"/>
        <v>-2344</v>
      </c>
      <c r="N17" s="26">
        <f t="shared" si="3"/>
        <v>126.49499999999534</v>
      </c>
      <c r="O17" s="26">
        <f t="shared" si="3"/>
        <v>-492.91000000000349</v>
      </c>
      <c r="P17" s="130">
        <f t="shared" si="3"/>
        <v>160.11000000000058</v>
      </c>
      <c r="Q17" s="130">
        <f t="shared" ref="Q17:AC17" si="4">Q15-Q16</f>
        <v>-2866.6549999999988</v>
      </c>
      <c r="R17" s="130">
        <f t="shared" si="4"/>
        <v>809.08999999999651</v>
      </c>
      <c r="S17" s="130">
        <f t="shared" si="4"/>
        <v>-1588.4912500000064</v>
      </c>
      <c r="T17" s="130">
        <f t="shared" si="4"/>
        <v>291.52125000000524</v>
      </c>
      <c r="U17" s="130">
        <f t="shared" si="4"/>
        <v>-473.02749999999651</v>
      </c>
      <c r="V17" s="130">
        <f t="shared" si="4"/>
        <v>1887.6837499999965</v>
      </c>
      <c r="W17" s="130">
        <f t="shared" si="4"/>
        <v>-38.903749999997672</v>
      </c>
      <c r="X17" s="130">
        <f t="shared" si="4"/>
        <v>2546.7275000000081</v>
      </c>
      <c r="Y17" s="130">
        <f t="shared" si="4"/>
        <v>1015.09375</v>
      </c>
      <c r="Z17" s="130">
        <f t="shared" si="4"/>
        <v>666.91624999999476</v>
      </c>
      <c r="AA17" s="354">
        <f t="shared" si="4"/>
        <v>2125.9149999999936</v>
      </c>
      <c r="AB17" s="83">
        <f t="shared" si="4"/>
        <v>7.5254371818591608</v>
      </c>
      <c r="AC17" s="83">
        <f t="shared" si="4"/>
        <v>15.306045838660793</v>
      </c>
      <c r="AD17" s="83">
        <f t="shared" ref="AD17:AE17" si="5">AD15-AD16</f>
        <v>21.749226498795906</v>
      </c>
      <c r="AE17" s="245">
        <f t="shared" si="5"/>
        <v>28.981741291325307</v>
      </c>
      <c r="AW17" s="186"/>
    </row>
    <row r="19" spans="1:49" x14ac:dyDescent="0.2">
      <c r="A19" s="28" t="s">
        <v>77</v>
      </c>
    </row>
    <row r="20" spans="1:49" s="3" customFormat="1" x14ac:dyDescent="0.2">
      <c r="A20" s="3" t="s">
        <v>296</v>
      </c>
      <c r="B20" s="3" t="s">
        <v>49</v>
      </c>
      <c r="C20" s="3">
        <f>'Data Input'!D28</f>
        <v>20124</v>
      </c>
      <c r="D20" s="3">
        <f>'Data Input'!E28</f>
        <v>24697</v>
      </c>
      <c r="E20" s="3">
        <f>'Data Input'!F28</f>
        <v>27773</v>
      </c>
      <c r="F20" s="3">
        <f>'Data Input'!G28</f>
        <v>33711</v>
      </c>
      <c r="G20" s="3">
        <f>'Data Input'!H28</f>
        <v>34242</v>
      </c>
      <c r="H20" s="3">
        <f>'Data Input'!I28</f>
        <v>38092</v>
      </c>
      <c r="I20" s="3">
        <f>'Data Input'!J28</f>
        <v>43013</v>
      </c>
      <c r="J20" s="3">
        <f>'Data Input'!K28</f>
        <v>48901</v>
      </c>
      <c r="K20" s="3">
        <f>'Data Input'!L28</f>
        <v>54382</v>
      </c>
      <c r="L20" s="3">
        <f>'Data Input'!M28</f>
        <v>61039</v>
      </c>
      <c r="M20" s="3">
        <f>'Data Input'!N28</f>
        <v>68780</v>
      </c>
      <c r="N20" s="3">
        <f>'Data Input'!O28</f>
        <v>72429</v>
      </c>
      <c r="O20" s="3">
        <f>'Data Input'!P28</f>
        <v>75857</v>
      </c>
      <c r="P20" s="122">
        <f>'Data Input'!Q28</f>
        <v>79157</v>
      </c>
      <c r="Q20" s="122">
        <f>'Data Input'!R28</f>
        <v>82791</v>
      </c>
      <c r="R20" s="122">
        <f>'Data Input'!S28</f>
        <v>88694</v>
      </c>
      <c r="S20" s="122">
        <f>'Data Input'!T28</f>
        <v>94850</v>
      </c>
      <c r="T20" s="122">
        <f>'Data Input'!U28</f>
        <v>104917</v>
      </c>
      <c r="U20" s="122">
        <f>'Data Input'!V28</f>
        <v>106957</v>
      </c>
      <c r="V20" s="122">
        <f>'Data Input'!W28</f>
        <v>109112</v>
      </c>
      <c r="W20" s="122">
        <f>'Data Input'!X28</f>
        <v>114246</v>
      </c>
      <c r="X20" s="122">
        <f>'Data Input'!Y28</f>
        <v>115685</v>
      </c>
      <c r="Y20" s="122">
        <f>'Data Input'!Z28</f>
        <v>119864</v>
      </c>
      <c r="Z20" s="122">
        <f>'Data Input'!AA28</f>
        <v>130867</v>
      </c>
      <c r="AA20" s="352">
        <f>'Data Input'!AB28</f>
        <v>143076</v>
      </c>
      <c r="AB20" s="79">
        <f>'Data Input'!AC28</f>
        <v>156978</v>
      </c>
      <c r="AC20" s="79">
        <f>'Data Input'!AD28</f>
        <v>170805.87488462828</v>
      </c>
      <c r="AD20" s="79">
        <f>'Data Input'!AE28</f>
        <v>183733.14824921408</v>
      </c>
      <c r="AE20" s="241">
        <f>'Data Input'!AF28</f>
        <v>196139.25039928145</v>
      </c>
      <c r="AW20" s="179"/>
    </row>
    <row r="21" spans="1:49" s="3" customFormat="1" x14ac:dyDescent="0.2">
      <c r="A21" s="3" t="s">
        <v>80</v>
      </c>
      <c r="C21" s="23" t="s">
        <v>12</v>
      </c>
      <c r="D21" s="23" t="s">
        <v>12</v>
      </c>
      <c r="E21" s="23" t="s">
        <v>12</v>
      </c>
      <c r="F21" s="3">
        <v>-784</v>
      </c>
      <c r="G21" s="23" t="s">
        <v>12</v>
      </c>
      <c r="H21" s="23" t="s">
        <v>12</v>
      </c>
      <c r="I21" s="23" t="s">
        <v>12</v>
      </c>
      <c r="J21" s="23" t="s">
        <v>12</v>
      </c>
      <c r="K21" s="23" t="s">
        <v>12</v>
      </c>
      <c r="L21" s="23" t="s">
        <v>12</v>
      </c>
      <c r="M21" s="23" t="s">
        <v>12</v>
      </c>
      <c r="N21" s="23" t="s">
        <v>12</v>
      </c>
      <c r="O21" s="23" t="s">
        <v>12</v>
      </c>
      <c r="P21" s="131" t="s">
        <v>12</v>
      </c>
      <c r="Q21" s="131" t="s">
        <v>12</v>
      </c>
      <c r="R21" s="131" t="s">
        <v>12</v>
      </c>
      <c r="S21" s="131" t="s">
        <v>12</v>
      </c>
      <c r="T21" s="131" t="s">
        <v>12</v>
      </c>
      <c r="U21" s="131" t="s">
        <v>12</v>
      </c>
      <c r="V21" s="131" t="s">
        <v>12</v>
      </c>
      <c r="W21" s="131" t="s">
        <v>12</v>
      </c>
      <c r="X21" s="131" t="s">
        <v>12</v>
      </c>
      <c r="Y21" s="131" t="s">
        <v>12</v>
      </c>
      <c r="Z21" s="131" t="s">
        <v>12</v>
      </c>
      <c r="AA21" s="355" t="s">
        <v>12</v>
      </c>
      <c r="AB21" s="84" t="s">
        <v>12</v>
      </c>
      <c r="AC21" s="84" t="s">
        <v>12</v>
      </c>
      <c r="AD21" s="84" t="s">
        <v>12</v>
      </c>
      <c r="AE21" s="246" t="s">
        <v>12</v>
      </c>
      <c r="AW21" s="179"/>
    </row>
    <row r="22" spans="1:49" s="3" customFormat="1" x14ac:dyDescent="0.2">
      <c r="A22" s="3" t="s">
        <v>84</v>
      </c>
      <c r="B22" s="3" t="s">
        <v>49</v>
      </c>
      <c r="C22" s="23" t="s">
        <v>12</v>
      </c>
      <c r="D22" s="23" t="s">
        <v>12</v>
      </c>
      <c r="E22" s="23" t="s">
        <v>12</v>
      </c>
      <c r="F22" s="23" t="s">
        <v>12</v>
      </c>
      <c r="G22" s="23">
        <f>'Data Input'!H29*-1</f>
        <v>-70</v>
      </c>
      <c r="H22" s="23">
        <f>'Data Input'!I29*-1</f>
        <v>-79</v>
      </c>
      <c r="I22" s="23">
        <f>'Data Input'!J29*-1</f>
        <v>-61</v>
      </c>
      <c r="J22" s="23">
        <f>'Data Input'!K29*-1</f>
        <v>-68</v>
      </c>
      <c r="K22" s="23">
        <f>'Data Input'!L29*-1</f>
        <v>-53</v>
      </c>
      <c r="L22" s="23">
        <f>'Data Input'!M29*-1</f>
        <v>-44</v>
      </c>
      <c r="M22" s="23">
        <f>'Data Input'!N29*-1</f>
        <v>-41</v>
      </c>
      <c r="N22" s="23">
        <f>'Data Input'!O29*-1</f>
        <v>-44</v>
      </c>
      <c r="O22" s="23">
        <f>'Data Input'!P29*-1</f>
        <v>-54</v>
      </c>
      <c r="P22" s="131">
        <f>'Data Input'!Q29*-1</f>
        <v>-43</v>
      </c>
      <c r="Q22" s="131">
        <f>'Data Input'!R29*-1</f>
        <v>-40</v>
      </c>
      <c r="R22" s="131">
        <f>'Data Input'!S29*-1</f>
        <v>-36</v>
      </c>
      <c r="S22" s="131">
        <f>'Data Input'!T29*-1</f>
        <v>-34</v>
      </c>
      <c r="T22" s="131">
        <f>'Data Input'!U29*-1</f>
        <v>-31</v>
      </c>
      <c r="U22" s="131">
        <f>'Data Input'!V29*-1</f>
        <v>-47</v>
      </c>
      <c r="V22" s="131">
        <f>'Data Input'!W29*-1</f>
        <v>-57.981786999999997</v>
      </c>
      <c r="W22" s="131">
        <f>'Data Input'!X29*-1</f>
        <v>-58.585501000000001</v>
      </c>
      <c r="X22" s="131">
        <f>'Data Input'!Y29*-1</f>
        <v>-39.720883999999998</v>
      </c>
      <c r="Y22" s="131">
        <f>'Data Input'!Z29*-1</f>
        <v>-39.268236999999999</v>
      </c>
      <c r="Z22" s="131">
        <f>'Data Input'!AA29*-1</f>
        <v>-37.903300000000002</v>
      </c>
      <c r="AA22" s="355">
        <f>'Data Input'!AB29*-1</f>
        <v>-36.734502999999997</v>
      </c>
      <c r="AB22" s="84">
        <f>'Data Input'!AC29*-1</f>
        <v>-38</v>
      </c>
      <c r="AC22" s="84">
        <f>'Data Input'!AD29*-1</f>
        <v>-43.364365411764709</v>
      </c>
      <c r="AD22" s="84">
        <f>'Data Input'!AE29*-1</f>
        <v>-43.364365411764709</v>
      </c>
      <c r="AE22" s="246">
        <f>'Data Input'!AF29*-1</f>
        <v>-43.364365411764709</v>
      </c>
      <c r="AW22" s="179"/>
    </row>
    <row r="23" spans="1:49" s="3" customFormat="1" x14ac:dyDescent="0.2">
      <c r="A23" s="3" t="s">
        <v>78</v>
      </c>
      <c r="B23" s="3" t="s">
        <v>49</v>
      </c>
      <c r="C23" s="3">
        <f>'Data Input'!E38</f>
        <v>1530</v>
      </c>
      <c r="D23" s="3">
        <f>'Data Input'!F38</f>
        <v>1889</v>
      </c>
      <c r="E23" s="3">
        <f>'Data Input'!G38</f>
        <v>1401</v>
      </c>
      <c r="F23" s="3">
        <f>'Data Input'!H38</f>
        <v>1436</v>
      </c>
      <c r="G23" s="3">
        <f>'Data Input'!I38</f>
        <v>1305</v>
      </c>
      <c r="H23" s="3">
        <f>'Data Input'!J38</f>
        <v>1445</v>
      </c>
      <c r="I23" s="3">
        <f>'Data Input'!K38</f>
        <v>1696</v>
      </c>
      <c r="J23" s="3">
        <f>'Data Input'!L38</f>
        <v>1757</v>
      </c>
      <c r="K23" s="3">
        <f>'Data Input'!M38</f>
        <v>1413</v>
      </c>
      <c r="L23" s="3">
        <f>'Data Input'!N38</f>
        <v>1281</v>
      </c>
      <c r="M23" s="3">
        <f>'Data Input'!O38</f>
        <v>1312</v>
      </c>
      <c r="N23" s="3">
        <f>'Data Input'!P38</f>
        <v>1383</v>
      </c>
      <c r="O23" s="3">
        <f>'Data Input'!Q38</f>
        <v>1435</v>
      </c>
      <c r="P23" s="122">
        <f>'Data Input'!R38</f>
        <v>1495</v>
      </c>
      <c r="Q23" s="122">
        <f>'Data Input'!S38</f>
        <v>1575</v>
      </c>
      <c r="R23" s="122">
        <f>'Data Input'!T38</f>
        <v>1646</v>
      </c>
      <c r="S23" s="122">
        <f>'Data Input'!U38</f>
        <v>2138</v>
      </c>
      <c r="T23" s="122">
        <f>'Data Input'!V38</f>
        <v>2311</v>
      </c>
      <c r="U23" s="122">
        <f>'Data Input'!W38</f>
        <v>2723</v>
      </c>
      <c r="V23" s="122">
        <f>'Data Input'!X38</f>
        <v>2697.1948571428575</v>
      </c>
      <c r="W23" s="122">
        <f>'Data Input'!Y38</f>
        <v>2823</v>
      </c>
      <c r="X23" s="122">
        <f>'Data Input'!Z38</f>
        <v>2943.7162321428568</v>
      </c>
      <c r="Y23" s="122">
        <f>'Data Input'!AA38</f>
        <v>3081</v>
      </c>
      <c r="Z23" s="122">
        <f>'Data Input'!AB38</f>
        <v>3216</v>
      </c>
      <c r="AA23" s="352">
        <f>'Data Input'!AC38</f>
        <v>3299</v>
      </c>
      <c r="AB23" s="79">
        <f>'Data Input'!AD38</f>
        <v>3427.9046448087429</v>
      </c>
      <c r="AC23" s="79">
        <f>'Data Input'!AE38</f>
        <v>3564.1540016393437</v>
      </c>
      <c r="AD23" s="79">
        <f>'Data Input'!AF38</f>
        <v>3686.6029636939888</v>
      </c>
      <c r="AE23" s="241">
        <f>'Data Input'!AG38</f>
        <v>3813.2952248704369</v>
      </c>
      <c r="AW23" s="179"/>
    </row>
    <row r="24" spans="1:49" s="3" customFormat="1" x14ac:dyDescent="0.2">
      <c r="A24" s="3" t="s">
        <v>79</v>
      </c>
      <c r="B24" s="3" t="s">
        <v>73</v>
      </c>
      <c r="C24" s="3">
        <f>Interest!D24</f>
        <v>2098.63625</v>
      </c>
      <c r="D24" s="3">
        <f>Interest!E24</f>
        <v>2392.1950000000002</v>
      </c>
      <c r="E24" s="3">
        <f>Interest!F24</f>
        <v>2447.6374999999998</v>
      </c>
      <c r="F24" s="3">
        <f>Interest!G24</f>
        <v>2834.125</v>
      </c>
      <c r="G24" s="3">
        <f>Interest!H24</f>
        <v>2826.78</v>
      </c>
      <c r="H24" s="3">
        <f>Interest!I24</f>
        <v>3139.4962500000001</v>
      </c>
      <c r="I24" s="3">
        <f>Interest!J24</f>
        <v>3329.4</v>
      </c>
      <c r="J24" s="3">
        <f>Interest!K24</f>
        <v>3532.7799999999997</v>
      </c>
      <c r="K24" s="3">
        <f>Interest!L24</f>
        <v>3911.3387499999999</v>
      </c>
      <c r="L24" s="3">
        <f>Interest!M24</f>
        <v>4228.63</v>
      </c>
      <c r="M24" s="3">
        <f>Interest!N24</f>
        <v>4752.72</v>
      </c>
      <c r="N24" s="3">
        <f>Interest!O24</f>
        <v>5010.7750000000005</v>
      </c>
      <c r="O24" s="3">
        <f>Interest!P24</f>
        <v>5248.2500000000009</v>
      </c>
      <c r="P24" s="122">
        <f>Interest!Q24</f>
        <v>5473.3350000000009</v>
      </c>
      <c r="Q24" s="122">
        <f>Interest!R24</f>
        <v>5723.795000000001</v>
      </c>
      <c r="R24" s="122">
        <f>Interest!S24</f>
        <v>5913.54</v>
      </c>
      <c r="S24" s="122">
        <f>Interest!T24</f>
        <v>6338.8575000000001</v>
      </c>
      <c r="T24" s="122">
        <f>Interest!U24</f>
        <v>7018.3462500000005</v>
      </c>
      <c r="U24" s="122">
        <f>Interest!V24</f>
        <v>7163.2687500000002</v>
      </c>
      <c r="V24" s="122">
        <f>Interest!W24</f>
        <v>7304.2153264285726</v>
      </c>
      <c r="W24" s="122">
        <f>Interest!X24</f>
        <v>7649.5050000000001</v>
      </c>
      <c r="X24" s="122">
        <f>Interest!Y24</f>
        <v>7741.9029228348218</v>
      </c>
      <c r="Y24" s="122">
        <f>Interest!Z24</f>
        <v>8020.9912500000009</v>
      </c>
      <c r="Z24" s="122">
        <f>Interest!AA24</f>
        <v>8762.9850000000006</v>
      </c>
      <c r="AA24" s="352">
        <f>Interest!AB24</f>
        <v>9227.2375000000011</v>
      </c>
      <c r="AB24" s="79">
        <f>Interest!AC24</f>
        <v>9740.2851526446339</v>
      </c>
      <c r="AC24" s="79">
        <f>Interest!AD24</f>
        <v>10600.854482923534</v>
      </c>
      <c r="AD24" s="79">
        <f>Interest!AE24</f>
        <v>11404.410605716237</v>
      </c>
      <c r="AE24" s="241">
        <f>Interest!AF24</f>
        <v>12175.250474633714</v>
      </c>
      <c r="AW24" s="179"/>
    </row>
    <row r="25" spans="1:49" s="3" customFormat="1" x14ac:dyDescent="0.2">
      <c r="A25" s="3" t="s">
        <v>74</v>
      </c>
      <c r="B25" s="3" t="s">
        <v>49</v>
      </c>
      <c r="C25" s="6">
        <f>'Data Input'!E18</f>
        <v>-829</v>
      </c>
      <c r="D25" s="6">
        <f>'Data Input'!F18</f>
        <v>-921</v>
      </c>
      <c r="E25" s="6">
        <f>'Data Input'!G18</f>
        <v>-1001</v>
      </c>
      <c r="F25" s="6">
        <f>'Data Input'!H18</f>
        <v>-1130</v>
      </c>
      <c r="G25" s="6">
        <f>'Data Input'!I18</f>
        <v>-1261</v>
      </c>
      <c r="H25" s="6">
        <f>'Data Input'!J18</f>
        <v>-1520</v>
      </c>
      <c r="I25" s="6">
        <f>'Data Input'!K18</f>
        <v>-1802</v>
      </c>
      <c r="J25" s="6">
        <f>'Data Input'!L18</f>
        <v>-2103</v>
      </c>
      <c r="K25" s="6">
        <f>'Data Input'!M18</f>
        <v>-2278</v>
      </c>
      <c r="L25" s="6">
        <f>'Data Input'!N18</f>
        <v>-2541</v>
      </c>
      <c r="M25" s="6">
        <f>'Data Input'!O18</f>
        <v>-3080</v>
      </c>
      <c r="N25" s="6">
        <f>'Data Input'!P18</f>
        <v>-3076</v>
      </c>
      <c r="O25" s="6">
        <f>'Data Input'!Q18</f>
        <v>-3199</v>
      </c>
      <c r="P25" s="126">
        <f>'Data Input'!R18</f>
        <v>-3428</v>
      </c>
      <c r="Q25" s="126">
        <f>'Data Input'!S18</f>
        <v>-3620</v>
      </c>
      <c r="R25" s="126">
        <f>'Data Input'!T18</f>
        <v>-3818</v>
      </c>
      <c r="S25" s="126">
        <f>'Data Input'!U18</f>
        <v>-4020</v>
      </c>
      <c r="T25" s="126">
        <f>'Data Input'!V18</f>
        <v>-4194</v>
      </c>
      <c r="U25" s="126">
        <f>'Data Input'!W18</f>
        <v>-4392</v>
      </c>
      <c r="V25" s="126">
        <f>'Data Input'!X18</f>
        <v>-4500</v>
      </c>
      <c r="W25" s="126">
        <f>'Data Input'!Y18</f>
        <v>-4663</v>
      </c>
      <c r="X25" s="126">
        <f>'Data Input'!Z18</f>
        <v>-4924</v>
      </c>
      <c r="Y25" s="126">
        <f>'Data Input'!AA18</f>
        <v>-5150</v>
      </c>
      <c r="Z25" s="126">
        <f>'Data Input'!AB18</f>
        <v>-5306</v>
      </c>
      <c r="AA25" s="353">
        <f>'Data Input'!AC18</f>
        <v>-5536</v>
      </c>
      <c r="AB25" s="81">
        <f>'Data Input'!AD18</f>
        <v>-5694.7797601804714</v>
      </c>
      <c r="AC25" s="81">
        <f>'Data Input'!AE18</f>
        <v>-5948.560317342809</v>
      </c>
      <c r="AD25" s="81">
        <f>'Data Input'!AF18</f>
        <v>-6211.7600792025059</v>
      </c>
      <c r="AE25" s="242">
        <f>'Data Input'!AG18</f>
        <v>-6483.78083515448</v>
      </c>
      <c r="AW25" s="179"/>
    </row>
    <row r="26" spans="1:49" s="8" customFormat="1" x14ac:dyDescent="0.2">
      <c r="A26" s="8" t="s">
        <v>81</v>
      </c>
      <c r="B26" s="8" t="s">
        <v>31</v>
      </c>
      <c r="C26" s="8">
        <f>SUM(C20:C25)</f>
        <v>22923.63625</v>
      </c>
      <c r="D26" s="8">
        <f t="shared" ref="D26:P26" si="6">SUM(D20:D25)</f>
        <v>28057.195</v>
      </c>
      <c r="E26" s="8">
        <f t="shared" si="6"/>
        <v>30620.637500000001</v>
      </c>
      <c r="F26" s="8">
        <f t="shared" si="6"/>
        <v>36067.125</v>
      </c>
      <c r="G26" s="8">
        <f t="shared" si="6"/>
        <v>37042.78</v>
      </c>
      <c r="H26" s="8">
        <f t="shared" si="6"/>
        <v>41077.496249999997</v>
      </c>
      <c r="I26" s="8">
        <f t="shared" si="6"/>
        <v>46175.4</v>
      </c>
      <c r="J26" s="8">
        <f t="shared" si="6"/>
        <v>52019.78</v>
      </c>
      <c r="K26" s="8">
        <f t="shared" si="6"/>
        <v>57375.338750000003</v>
      </c>
      <c r="L26" s="8">
        <f t="shared" si="6"/>
        <v>63963.630000000005</v>
      </c>
      <c r="M26" s="8">
        <f t="shared" si="6"/>
        <v>71723.72</v>
      </c>
      <c r="N26" s="8">
        <f t="shared" si="6"/>
        <v>75702.774999999994</v>
      </c>
      <c r="O26" s="8">
        <f t="shared" si="6"/>
        <v>79287.25</v>
      </c>
      <c r="P26" s="120">
        <f t="shared" si="6"/>
        <v>82654.335000000006</v>
      </c>
      <c r="Q26" s="120">
        <f t="shared" ref="Q26:AC26" si="7">SUM(Q20:Q25)</f>
        <v>86429.794999999998</v>
      </c>
      <c r="R26" s="120">
        <f t="shared" si="7"/>
        <v>92399.54</v>
      </c>
      <c r="S26" s="120">
        <f t="shared" si="7"/>
        <v>99272.857499999998</v>
      </c>
      <c r="T26" s="120">
        <f t="shared" si="7"/>
        <v>110021.34625</v>
      </c>
      <c r="U26" s="120">
        <f t="shared" si="7"/>
        <v>112404.26875</v>
      </c>
      <c r="V26" s="120">
        <f t="shared" si="7"/>
        <v>114555.42839657143</v>
      </c>
      <c r="W26" s="120">
        <f t="shared" si="7"/>
        <v>119996.91949900001</v>
      </c>
      <c r="X26" s="120">
        <f t="shared" si="7"/>
        <v>121406.89827097769</v>
      </c>
      <c r="Y26" s="120">
        <f t="shared" si="7"/>
        <v>125776.72301300001</v>
      </c>
      <c r="Z26" s="120">
        <f t="shared" si="7"/>
        <v>137502.08169999998</v>
      </c>
      <c r="AA26" s="350">
        <f t="shared" si="7"/>
        <v>150029.50299699997</v>
      </c>
      <c r="AB26" s="78">
        <f t="shared" si="7"/>
        <v>164413.4100372729</v>
      </c>
      <c r="AC26" s="78">
        <f t="shared" si="7"/>
        <v>178978.95868643658</v>
      </c>
      <c r="AD26" s="78">
        <f t="shared" ref="AD26:AE26" si="8">SUM(AD20:AD25)</f>
        <v>192569.03737401002</v>
      </c>
      <c r="AE26" s="243">
        <f t="shared" si="8"/>
        <v>205600.65089821935</v>
      </c>
      <c r="AW26" s="180"/>
    </row>
    <row r="27" spans="1:49" s="1" customFormat="1" x14ac:dyDescent="0.2">
      <c r="A27" s="1" t="s">
        <v>82</v>
      </c>
      <c r="B27" s="1" t="s">
        <v>49</v>
      </c>
      <c r="C27" s="6">
        <f>'Data Input'!E28</f>
        <v>24697</v>
      </c>
      <c r="D27" s="6">
        <f>'Data Input'!F28</f>
        <v>27773</v>
      </c>
      <c r="E27" s="6">
        <f>'Data Input'!G28</f>
        <v>33711</v>
      </c>
      <c r="F27" s="6">
        <f>'Data Input'!H28</f>
        <v>34242</v>
      </c>
      <c r="G27" s="6">
        <f>'Data Input'!I28</f>
        <v>38092</v>
      </c>
      <c r="H27" s="6">
        <f>'Data Input'!J28</f>
        <v>43013</v>
      </c>
      <c r="I27" s="6">
        <f>'Data Input'!K28</f>
        <v>48901</v>
      </c>
      <c r="J27" s="6">
        <f>'Data Input'!L28</f>
        <v>54382</v>
      </c>
      <c r="K27" s="6">
        <f>'Data Input'!M28</f>
        <v>61039</v>
      </c>
      <c r="L27" s="6">
        <f>'Data Input'!N28</f>
        <v>68780</v>
      </c>
      <c r="M27" s="6">
        <f>'Data Input'!O28</f>
        <v>72429</v>
      </c>
      <c r="N27" s="6">
        <f>'Data Input'!P28</f>
        <v>75857</v>
      </c>
      <c r="O27" s="6">
        <f>'Data Input'!Q28</f>
        <v>79157</v>
      </c>
      <c r="P27" s="126">
        <f>'Data Input'!R28</f>
        <v>82791</v>
      </c>
      <c r="Q27" s="126">
        <f>'Data Input'!S28</f>
        <v>88694</v>
      </c>
      <c r="R27" s="126">
        <f>'Data Input'!T28</f>
        <v>94850</v>
      </c>
      <c r="S27" s="126">
        <f>'Data Input'!U28</f>
        <v>104917</v>
      </c>
      <c r="T27" s="126">
        <f>'Data Input'!V28</f>
        <v>106957</v>
      </c>
      <c r="U27" s="126">
        <f>'Data Input'!W28</f>
        <v>109112</v>
      </c>
      <c r="V27" s="126">
        <f>'Data Input'!X28</f>
        <v>114246</v>
      </c>
      <c r="W27" s="126">
        <f>'Data Input'!Y28</f>
        <v>115685</v>
      </c>
      <c r="X27" s="126">
        <f>'Data Input'!Z28</f>
        <v>119864</v>
      </c>
      <c r="Y27" s="126">
        <f>'Data Input'!AA28</f>
        <v>130867</v>
      </c>
      <c r="Z27" s="126">
        <f>'Data Input'!AB28</f>
        <v>143076</v>
      </c>
      <c r="AA27" s="353">
        <f>'Data Input'!AC28</f>
        <v>156978</v>
      </c>
      <c r="AB27" s="81">
        <f>'Data Input'!AD28</f>
        <v>170805.87488462828</v>
      </c>
      <c r="AC27" s="81">
        <f>'Data Input'!AE28</f>
        <v>183733.14824921408</v>
      </c>
      <c r="AD27" s="81">
        <f>'Data Input'!AF28</f>
        <v>196139.25039928145</v>
      </c>
      <c r="AE27" s="242">
        <f>'Data Input'!AG28</f>
        <v>207697.4054389525</v>
      </c>
      <c r="AW27" s="187"/>
    </row>
    <row r="28" spans="1:49" s="25" customFormat="1" x14ac:dyDescent="0.2">
      <c r="A28" s="25" t="s">
        <v>83</v>
      </c>
      <c r="B28" s="8" t="s">
        <v>31</v>
      </c>
      <c r="C28" s="26">
        <f>C27-C26</f>
        <v>1773.3637500000004</v>
      </c>
      <c r="D28" s="26">
        <f t="shared" ref="D28:P28" si="9">D27-D26</f>
        <v>-284.19499999999971</v>
      </c>
      <c r="E28" s="26">
        <f t="shared" si="9"/>
        <v>3090.3624999999993</v>
      </c>
      <c r="F28" s="26">
        <f t="shared" si="9"/>
        <v>-1825.125</v>
      </c>
      <c r="G28" s="26">
        <f t="shared" si="9"/>
        <v>1049.2200000000012</v>
      </c>
      <c r="H28" s="26">
        <f t="shared" si="9"/>
        <v>1935.5037500000035</v>
      </c>
      <c r="I28" s="26">
        <f t="shared" si="9"/>
        <v>2725.5999999999985</v>
      </c>
      <c r="J28" s="26">
        <f t="shared" si="9"/>
        <v>2362.2200000000012</v>
      </c>
      <c r="K28" s="26">
        <f t="shared" si="9"/>
        <v>3663.6612499999974</v>
      </c>
      <c r="L28" s="26">
        <f t="shared" si="9"/>
        <v>4816.3699999999953</v>
      </c>
      <c r="M28" s="26">
        <f t="shared" si="9"/>
        <v>705.27999999999884</v>
      </c>
      <c r="N28" s="26">
        <f t="shared" si="9"/>
        <v>154.22500000000582</v>
      </c>
      <c r="O28" s="26">
        <f t="shared" si="9"/>
        <v>-130.25</v>
      </c>
      <c r="P28" s="130">
        <f t="shared" si="9"/>
        <v>136.6649999999936</v>
      </c>
      <c r="Q28" s="130">
        <f t="shared" ref="Q28:AC28" si="10">Q27-Q26</f>
        <v>2264.2050000000017</v>
      </c>
      <c r="R28" s="130">
        <f t="shared" si="10"/>
        <v>2450.4600000000064</v>
      </c>
      <c r="S28" s="130">
        <f>S27-S26</f>
        <v>5644.1425000000017</v>
      </c>
      <c r="T28" s="130">
        <f t="shared" si="10"/>
        <v>-3064.3462500000023</v>
      </c>
      <c r="U28" s="130">
        <f t="shared" si="10"/>
        <v>-3292.2687500000029</v>
      </c>
      <c r="V28" s="130">
        <f t="shared" si="10"/>
        <v>-309.42839657142758</v>
      </c>
      <c r="W28" s="130">
        <f t="shared" si="10"/>
        <v>-4311.9194990000105</v>
      </c>
      <c r="X28" s="130">
        <f t="shared" si="10"/>
        <v>-1542.8982709776901</v>
      </c>
      <c r="Y28" s="130">
        <f t="shared" si="10"/>
        <v>5090.2769869999902</v>
      </c>
      <c r="Z28" s="130">
        <f t="shared" si="10"/>
        <v>5573.9183000000194</v>
      </c>
      <c r="AA28" s="354">
        <f t="shared" si="10"/>
        <v>6948.4970030000259</v>
      </c>
      <c r="AB28" s="83">
        <f t="shared" si="10"/>
        <v>6392.4648473553825</v>
      </c>
      <c r="AC28" s="83">
        <f t="shared" si="10"/>
        <v>4754.1895627774938</v>
      </c>
      <c r="AD28" s="83">
        <f t="shared" ref="AD28:AE28" si="11">AD27-AD26</f>
        <v>3570.2130252714269</v>
      </c>
      <c r="AE28" s="245">
        <f t="shared" si="11"/>
        <v>2096.754540733149</v>
      </c>
      <c r="AW28" s="186"/>
    </row>
    <row r="29" spans="1:49" x14ac:dyDescent="0.2">
      <c r="B29" s="8"/>
    </row>
    <row r="30" spans="1:49" x14ac:dyDescent="0.2">
      <c r="A30" s="28" t="s">
        <v>103</v>
      </c>
      <c r="B30" s="8"/>
    </row>
    <row r="31" spans="1:49" x14ac:dyDescent="0.2">
      <c r="A31" t="s">
        <v>85</v>
      </c>
      <c r="B31" t="s">
        <v>66</v>
      </c>
      <c r="C31" s="22">
        <f>+C17</f>
        <v>-218.93375000000015</v>
      </c>
      <c r="D31" s="22">
        <f t="shared" ref="D31:M31" si="12">+D17</f>
        <v>-411.8125</v>
      </c>
      <c r="E31" s="22">
        <f t="shared" si="12"/>
        <v>-347.26875000000291</v>
      </c>
      <c r="F31" s="22">
        <f t="shared" si="12"/>
        <v>293.91249999999854</v>
      </c>
      <c r="G31" s="22">
        <f t="shared" si="12"/>
        <v>987.1675000000032</v>
      </c>
      <c r="H31" s="22">
        <f t="shared" si="12"/>
        <v>470.17124999999942</v>
      </c>
      <c r="I31" s="22">
        <f t="shared" si="12"/>
        <v>74.888749999998254</v>
      </c>
      <c r="J31" s="22">
        <f t="shared" si="12"/>
        <v>390.92250000000058</v>
      </c>
      <c r="K31" s="22">
        <f t="shared" si="12"/>
        <v>802.62124999999651</v>
      </c>
      <c r="L31" s="22">
        <f t="shared" si="12"/>
        <v>-2501.2149999999965</v>
      </c>
      <c r="M31" s="22">
        <f t="shared" si="12"/>
        <v>-2344</v>
      </c>
      <c r="N31" s="22">
        <f t="shared" ref="N31:T31" si="13">+N17</f>
        <v>126.49499999999534</v>
      </c>
      <c r="O31" s="22">
        <f t="shared" si="13"/>
        <v>-492.91000000000349</v>
      </c>
      <c r="P31" s="107">
        <f t="shared" si="13"/>
        <v>160.11000000000058</v>
      </c>
      <c r="Q31" s="107">
        <f t="shared" si="13"/>
        <v>-2866.6549999999988</v>
      </c>
      <c r="R31" s="107">
        <f t="shared" si="13"/>
        <v>809.08999999999651</v>
      </c>
      <c r="S31" s="107">
        <f t="shared" si="13"/>
        <v>-1588.4912500000064</v>
      </c>
      <c r="T31" s="107">
        <f t="shared" si="13"/>
        <v>291.52125000000524</v>
      </c>
      <c r="U31" s="107">
        <f t="shared" ref="U31:Z31" si="14">+U17</f>
        <v>-473.02749999999651</v>
      </c>
      <c r="V31" s="107">
        <f t="shared" si="14"/>
        <v>1887.6837499999965</v>
      </c>
      <c r="W31" s="107">
        <f t="shared" si="14"/>
        <v>-38.903749999997672</v>
      </c>
      <c r="X31" s="107">
        <f t="shared" si="14"/>
        <v>2546.7275000000081</v>
      </c>
      <c r="Y31" s="107">
        <f t="shared" si="14"/>
        <v>1015.09375</v>
      </c>
      <c r="Z31" s="107">
        <f t="shared" si="14"/>
        <v>666.91624999999476</v>
      </c>
      <c r="AA31" s="356">
        <f>+AA17</f>
        <v>2125.9149999999936</v>
      </c>
      <c r="AB31" s="85">
        <f>+AB17</f>
        <v>7.5254371818591608</v>
      </c>
      <c r="AC31" s="85">
        <f>+AC17</f>
        <v>15.306045838660793</v>
      </c>
      <c r="AD31" s="85">
        <f>+AD17</f>
        <v>21.749226498795906</v>
      </c>
      <c r="AE31" s="247">
        <f>+AE17</f>
        <v>28.981741291325307</v>
      </c>
    </row>
    <row r="32" spans="1:49" x14ac:dyDescent="0.2">
      <c r="A32" t="s">
        <v>86</v>
      </c>
      <c r="B32" t="s">
        <v>66</v>
      </c>
      <c r="C32" s="22">
        <f>C28</f>
        <v>1773.3637500000004</v>
      </c>
      <c r="D32" s="22">
        <f t="shared" ref="D32:M32" si="15">D28</f>
        <v>-284.19499999999971</v>
      </c>
      <c r="E32" s="22">
        <f t="shared" si="15"/>
        <v>3090.3624999999993</v>
      </c>
      <c r="F32" s="22">
        <f t="shared" si="15"/>
        <v>-1825.125</v>
      </c>
      <c r="G32" s="22">
        <f t="shared" si="15"/>
        <v>1049.2200000000012</v>
      </c>
      <c r="H32" s="22">
        <f t="shared" si="15"/>
        <v>1935.5037500000035</v>
      </c>
      <c r="I32" s="22">
        <f t="shared" si="15"/>
        <v>2725.5999999999985</v>
      </c>
      <c r="J32" s="22">
        <f t="shared" si="15"/>
        <v>2362.2200000000012</v>
      </c>
      <c r="K32" s="22">
        <f t="shared" si="15"/>
        <v>3663.6612499999974</v>
      </c>
      <c r="L32" s="22">
        <f t="shared" si="15"/>
        <v>4816.3699999999953</v>
      </c>
      <c r="M32" s="22">
        <f t="shared" si="15"/>
        <v>705.27999999999884</v>
      </c>
      <c r="N32" s="22">
        <f t="shared" ref="N32:T32" si="16">N28</f>
        <v>154.22500000000582</v>
      </c>
      <c r="O32" s="22">
        <f t="shared" si="16"/>
        <v>-130.25</v>
      </c>
      <c r="P32" s="107">
        <f t="shared" si="16"/>
        <v>136.6649999999936</v>
      </c>
      <c r="Q32" s="107">
        <f t="shared" si="16"/>
        <v>2264.2050000000017</v>
      </c>
      <c r="R32" s="107">
        <f t="shared" si="16"/>
        <v>2450.4600000000064</v>
      </c>
      <c r="S32" s="107">
        <f t="shared" si="16"/>
        <v>5644.1425000000017</v>
      </c>
      <c r="T32" s="107">
        <f t="shared" si="16"/>
        <v>-3064.3462500000023</v>
      </c>
      <c r="U32" s="107">
        <f t="shared" ref="U32:Z32" si="17">U28</f>
        <v>-3292.2687500000029</v>
      </c>
      <c r="V32" s="107">
        <f t="shared" si="17"/>
        <v>-309.42839657142758</v>
      </c>
      <c r="W32" s="107">
        <f t="shared" si="17"/>
        <v>-4311.9194990000105</v>
      </c>
      <c r="X32" s="107">
        <f t="shared" si="17"/>
        <v>-1542.8982709776901</v>
      </c>
      <c r="Y32" s="107">
        <f t="shared" si="17"/>
        <v>5090.2769869999902</v>
      </c>
      <c r="Z32" s="107">
        <f t="shared" si="17"/>
        <v>5573.9183000000194</v>
      </c>
      <c r="AA32" s="356">
        <f>AA28</f>
        <v>6948.4970030000259</v>
      </c>
      <c r="AB32" s="85">
        <f>AB28</f>
        <v>6392.4648473553825</v>
      </c>
      <c r="AC32" s="85">
        <f>AC28</f>
        <v>4754.1895627774938</v>
      </c>
      <c r="AD32" s="85">
        <f>AD28</f>
        <v>3570.2130252714269</v>
      </c>
      <c r="AE32" s="247">
        <f>AE28</f>
        <v>2096.754540733149</v>
      </c>
    </row>
    <row r="33" spans="1:49" s="31" customFormat="1" x14ac:dyDescent="0.2">
      <c r="A33" s="31" t="s">
        <v>87</v>
      </c>
      <c r="B33" s="14" t="s">
        <v>31</v>
      </c>
      <c r="C33" s="32">
        <f t="shared" ref="C33:P33" si="18">SUM(C31:C32)</f>
        <v>1554.4300000000003</v>
      </c>
      <c r="D33" s="32">
        <f t="shared" si="18"/>
        <v>-696.00749999999971</v>
      </c>
      <c r="E33" s="32">
        <f t="shared" si="18"/>
        <v>2743.0937499999964</v>
      </c>
      <c r="F33" s="32">
        <f t="shared" si="18"/>
        <v>-1531.2125000000015</v>
      </c>
      <c r="G33" s="32">
        <f t="shared" si="18"/>
        <v>2036.3875000000044</v>
      </c>
      <c r="H33" s="32">
        <f t="shared" si="18"/>
        <v>2405.6750000000029</v>
      </c>
      <c r="I33" s="32">
        <f t="shared" si="18"/>
        <v>2800.4887499999968</v>
      </c>
      <c r="J33" s="32">
        <f t="shared" si="18"/>
        <v>2753.1425000000017</v>
      </c>
      <c r="K33" s="32">
        <f t="shared" si="18"/>
        <v>4466.2824999999939</v>
      </c>
      <c r="L33" s="32">
        <f t="shared" si="18"/>
        <v>2315.1549999999988</v>
      </c>
      <c r="M33" s="32">
        <f t="shared" si="18"/>
        <v>-1638.7200000000012</v>
      </c>
      <c r="N33" s="32">
        <f t="shared" si="18"/>
        <v>280.72000000000116</v>
      </c>
      <c r="O33" s="32">
        <f t="shared" si="18"/>
        <v>-623.16000000000349</v>
      </c>
      <c r="P33" s="134">
        <f t="shared" si="18"/>
        <v>296.77499999999418</v>
      </c>
      <c r="Q33" s="134">
        <f t="shared" ref="Q33:Z33" si="19">SUM(Q31:Q32)</f>
        <v>-602.44999999999709</v>
      </c>
      <c r="R33" s="134">
        <f t="shared" si="19"/>
        <v>3259.5500000000029</v>
      </c>
      <c r="S33" s="134">
        <f t="shared" si="19"/>
        <v>4055.6512499999953</v>
      </c>
      <c r="T33" s="134">
        <f t="shared" si="19"/>
        <v>-2772.8249999999971</v>
      </c>
      <c r="U33" s="134">
        <f t="shared" si="19"/>
        <v>-3765.2962499999994</v>
      </c>
      <c r="V33" s="134">
        <f t="shared" si="19"/>
        <v>1578.2553534285689</v>
      </c>
      <c r="W33" s="134">
        <f t="shared" si="19"/>
        <v>-4350.8232490000082</v>
      </c>
      <c r="X33" s="134">
        <f t="shared" si="19"/>
        <v>1003.829229022318</v>
      </c>
      <c r="Y33" s="134">
        <f t="shared" si="19"/>
        <v>6105.3707369999902</v>
      </c>
      <c r="Z33" s="134">
        <f t="shared" si="19"/>
        <v>6240.8345500000141</v>
      </c>
      <c r="AA33" s="358">
        <f>SUM(AA31:AA32)</f>
        <v>9074.4120030000195</v>
      </c>
      <c r="AB33" s="88">
        <f>SUM(AB31:AB32)</f>
        <v>6399.9902845372417</v>
      </c>
      <c r="AC33" s="88">
        <f>SUM(AC31:AC32)</f>
        <v>4769.4956086161546</v>
      </c>
      <c r="AD33" s="88">
        <f>SUM(AD31:AD32)</f>
        <v>3591.9622517702228</v>
      </c>
      <c r="AE33" s="250">
        <f>SUM(AE31:AE32)</f>
        <v>2125.7362820244743</v>
      </c>
      <c r="AW33" s="188"/>
    </row>
    <row r="34" spans="1:49" x14ac:dyDescent="0.2">
      <c r="A34" t="s">
        <v>89</v>
      </c>
      <c r="B34" s="3" t="s">
        <v>49</v>
      </c>
      <c r="C34" s="11">
        <f>'Data Input'!E40</f>
        <v>14</v>
      </c>
      <c r="D34" s="11">
        <f>'Data Input'!F40</f>
        <v>14</v>
      </c>
      <c r="E34" s="11">
        <f>'Data Input'!G40</f>
        <v>14</v>
      </c>
      <c r="F34" s="11">
        <f>'Data Input'!H40</f>
        <v>14</v>
      </c>
      <c r="G34" s="11">
        <f>'Data Input'!I40</f>
        <v>14</v>
      </c>
      <c r="H34" s="11">
        <f>'Data Input'!J40</f>
        <v>14</v>
      </c>
      <c r="I34" s="11">
        <f>'Data Input'!K40</f>
        <v>13</v>
      </c>
      <c r="J34" s="11">
        <f>'Data Input'!L40</f>
        <v>13</v>
      </c>
      <c r="K34" s="11">
        <f>'Data Input'!M40</f>
        <v>14</v>
      </c>
      <c r="L34" s="11">
        <f>'Data Input'!N40</f>
        <v>14</v>
      </c>
      <c r="M34" s="11">
        <f>'Data Input'!O40</f>
        <v>13</v>
      </c>
      <c r="N34" s="11">
        <f>'Data Input'!P40</f>
        <v>13</v>
      </c>
      <c r="O34" s="11">
        <f>'Data Input'!Q40</f>
        <v>13</v>
      </c>
      <c r="P34" s="135">
        <f>'Data Input'!R40</f>
        <v>13</v>
      </c>
      <c r="Q34" s="135">
        <f>'Data Input'!S40</f>
        <v>13</v>
      </c>
      <c r="R34" s="135">
        <f>'Data Input'!T40</f>
        <v>13.6</v>
      </c>
      <c r="S34" s="135">
        <f>'Data Input'!U40</f>
        <v>13.8</v>
      </c>
      <c r="T34" s="209">
        <f>'Data Input'!V40</f>
        <v>14</v>
      </c>
      <c r="U34" s="135">
        <f>'Data Input'!W40</f>
        <v>14</v>
      </c>
      <c r="V34" s="135">
        <f>'Data Input'!X40</f>
        <v>13.9</v>
      </c>
      <c r="W34" s="135">
        <f>'Data Input'!Y40</f>
        <v>14.1</v>
      </c>
      <c r="X34" s="135">
        <f>'Data Input'!Z40</f>
        <v>14.6</v>
      </c>
      <c r="Y34" s="135">
        <f>'Data Input'!AA40</f>
        <v>14.5</v>
      </c>
      <c r="Z34" s="135">
        <f>'Data Input'!AB40</f>
        <v>14.4</v>
      </c>
      <c r="AA34" s="359">
        <f>'Data Input'!AC40</f>
        <v>15.3</v>
      </c>
      <c r="AB34" s="89">
        <f>'Data Input'!AD40</f>
        <v>15.3</v>
      </c>
      <c r="AC34" s="89">
        <f>'Data Input'!AE40</f>
        <v>15.3</v>
      </c>
      <c r="AD34" s="89">
        <f>'Data Input'!AF40</f>
        <v>15.3</v>
      </c>
      <c r="AE34" s="251">
        <f>'Data Input'!AG40</f>
        <v>15.3</v>
      </c>
    </row>
    <row r="35" spans="1:49" s="25" customFormat="1" x14ac:dyDescent="0.2">
      <c r="A35" s="25" t="s">
        <v>104</v>
      </c>
      <c r="B35" s="8" t="s">
        <v>31</v>
      </c>
      <c r="C35" s="26">
        <f>C33/C34</f>
        <v>111.03071428571431</v>
      </c>
      <c r="D35" s="26">
        <f t="shared" ref="D35:P35" si="20">D33/D34</f>
        <v>-49.714821428571405</v>
      </c>
      <c r="E35" s="26">
        <f t="shared" si="20"/>
        <v>195.93526785714261</v>
      </c>
      <c r="F35" s="26">
        <f t="shared" si="20"/>
        <v>-109.37232142857154</v>
      </c>
      <c r="G35" s="26">
        <f t="shared" si="20"/>
        <v>145.45625000000032</v>
      </c>
      <c r="H35" s="26">
        <f t="shared" si="20"/>
        <v>171.83392857142877</v>
      </c>
      <c r="I35" s="26">
        <f t="shared" si="20"/>
        <v>215.42221153846128</v>
      </c>
      <c r="J35" s="26">
        <f t="shared" si="20"/>
        <v>211.78019230769243</v>
      </c>
      <c r="K35" s="26">
        <f t="shared" si="20"/>
        <v>319.02017857142812</v>
      </c>
      <c r="L35" s="26">
        <f t="shared" si="20"/>
        <v>165.3682142857142</v>
      </c>
      <c r="M35" s="26">
        <f t="shared" si="20"/>
        <v>-126.05538461538471</v>
      </c>
      <c r="N35" s="26">
        <f t="shared" si="20"/>
        <v>21.593846153846243</v>
      </c>
      <c r="O35" s="26">
        <f t="shared" si="20"/>
        <v>-47.935384615384883</v>
      </c>
      <c r="P35" s="130">
        <f t="shared" si="20"/>
        <v>22.828846153845706</v>
      </c>
      <c r="Q35" s="130">
        <f t="shared" ref="Q35:Z35" si="21">Q33/Q34</f>
        <v>-46.342307692307472</v>
      </c>
      <c r="R35" s="130">
        <f t="shared" si="21"/>
        <v>239.67279411764727</v>
      </c>
      <c r="S35" s="130">
        <f t="shared" si="21"/>
        <v>293.88777173913007</v>
      </c>
      <c r="T35" s="130">
        <f t="shared" si="21"/>
        <v>-198.05892857142837</v>
      </c>
      <c r="U35" s="130">
        <f t="shared" si="21"/>
        <v>-268.9497321428571</v>
      </c>
      <c r="V35" s="130">
        <f t="shared" si="21"/>
        <v>113.54355060637187</v>
      </c>
      <c r="W35" s="130">
        <f t="shared" si="21"/>
        <v>-308.56902475177367</v>
      </c>
      <c r="X35" s="130">
        <f t="shared" si="21"/>
        <v>68.755426645364253</v>
      </c>
      <c r="Y35" s="130">
        <f t="shared" si="21"/>
        <v>421.06005082758554</v>
      </c>
      <c r="Z35" s="130">
        <f t="shared" si="21"/>
        <v>433.39128819444539</v>
      </c>
      <c r="AA35" s="354">
        <f>AA33/AA34</f>
        <v>593.09882372549146</v>
      </c>
      <c r="AB35" s="83">
        <f>AB33/AB34</f>
        <v>418.30001859720534</v>
      </c>
      <c r="AC35" s="83">
        <f>AC33/AC34</f>
        <v>311.73173912523885</v>
      </c>
      <c r="AD35" s="83">
        <f>AD33/AD34</f>
        <v>234.76877462550473</v>
      </c>
      <c r="AE35" s="245">
        <f>AE33/AE34</f>
        <v>138.93701189702446</v>
      </c>
      <c r="AW35" s="186"/>
    </row>
    <row r="36" spans="1:49" s="25" customFormat="1" x14ac:dyDescent="0.2">
      <c r="B36" s="8"/>
      <c r="C36" s="39"/>
      <c r="D36" s="39"/>
      <c r="E36" s="39"/>
      <c r="F36" s="39"/>
      <c r="G36" s="39"/>
      <c r="H36" s="39"/>
      <c r="I36" s="39"/>
      <c r="J36" s="39"/>
      <c r="K36" s="39"/>
      <c r="L36" s="39"/>
      <c r="M36" s="39"/>
      <c r="N36" s="39"/>
      <c r="O36" s="39"/>
      <c r="P36" s="136"/>
      <c r="Q36" s="136"/>
      <c r="R36" s="136"/>
      <c r="S36" s="136"/>
      <c r="T36" s="136"/>
      <c r="U36" s="136"/>
      <c r="V36" s="136"/>
      <c r="W36" s="136"/>
      <c r="X36" s="136"/>
      <c r="Y36" s="136"/>
      <c r="Z36" s="504"/>
      <c r="AA36" s="360"/>
      <c r="AB36" s="176"/>
      <c r="AC36" s="176"/>
      <c r="AD36" s="176"/>
      <c r="AE36" s="252"/>
      <c r="AW36" s="186"/>
    </row>
    <row r="37" spans="1:49" s="25" customFormat="1" ht="15" x14ac:dyDescent="0.35">
      <c r="A37" s="40" t="s">
        <v>137</v>
      </c>
      <c r="B37" s="8" t="s">
        <v>31</v>
      </c>
      <c r="C37" s="39">
        <f>SUM($C33:C33)</f>
        <v>1554.4300000000003</v>
      </c>
      <c r="D37" s="39">
        <f>SUM($C33:D33)</f>
        <v>858.42250000000058</v>
      </c>
      <c r="E37" s="39">
        <f>SUM($C33:E33)</f>
        <v>3601.5162499999969</v>
      </c>
      <c r="F37" s="39">
        <f>SUM($C33:F33)</f>
        <v>2070.3037499999955</v>
      </c>
      <c r="G37" s="39">
        <f>SUM($C33:G33)</f>
        <v>4106.6912499999999</v>
      </c>
      <c r="H37" s="39">
        <f>SUM($C33:H33)</f>
        <v>6512.3662500000028</v>
      </c>
      <c r="I37" s="39">
        <f>SUM($C33:I33)</f>
        <v>9312.8549999999996</v>
      </c>
      <c r="J37" s="39">
        <f>SUM($C33:J33)</f>
        <v>12065.997500000001</v>
      </c>
      <c r="K37" s="39">
        <f>SUM($C33:K33)</f>
        <v>16532.279999999995</v>
      </c>
      <c r="L37" s="39">
        <f>SUM($C33:L33)</f>
        <v>18847.434999999994</v>
      </c>
      <c r="M37" s="39">
        <f>SUM($C33:M33)</f>
        <v>17208.714999999993</v>
      </c>
      <c r="N37" s="39">
        <f>SUM($C33:N33)</f>
        <v>17489.434999999994</v>
      </c>
      <c r="O37" s="39">
        <f>SUM($C33:O33)</f>
        <v>16866.274999999991</v>
      </c>
      <c r="P37" s="136">
        <f>SUM($C33:P33)</f>
        <v>17163.049999999985</v>
      </c>
      <c r="Q37" s="136">
        <f>SUM($C33:Q33)</f>
        <v>16560.599999999988</v>
      </c>
      <c r="R37" s="136">
        <f>SUM($C33:R33)</f>
        <v>19820.149999999991</v>
      </c>
      <c r="S37" s="136">
        <f>SUM($C33:S33)</f>
        <v>23875.801249999986</v>
      </c>
      <c r="T37" s="136">
        <f>SUM($C33:T33)</f>
        <v>21102.976249999989</v>
      </c>
      <c r="U37" s="136">
        <f>SUM($C33:U33)</f>
        <v>17337.679999999989</v>
      </c>
      <c r="V37" s="136">
        <f>SUM($C33:V33)</f>
        <v>18915.935353428558</v>
      </c>
      <c r="W37" s="136">
        <f>SUM($C33:W33)</f>
        <v>14565.11210442855</v>
      </c>
      <c r="X37" s="136">
        <f>SUM($C33:X33)</f>
        <v>15568.941333450868</v>
      </c>
      <c r="Y37" s="136">
        <f>SUM($C33:Y33)</f>
        <v>21674.312070450858</v>
      </c>
      <c r="Z37" s="136">
        <f>SUM($C33:Z33)</f>
        <v>27915.146620450872</v>
      </c>
      <c r="AA37" s="361">
        <f>SUM($C33:AA33)</f>
        <v>36989.558623450896</v>
      </c>
      <c r="AB37" s="90">
        <f>SUM($C33:AB33)</f>
        <v>43389.548907988137</v>
      </c>
      <c r="AC37" s="90">
        <f>SUM($C33:AC33)</f>
        <v>48159.044516604292</v>
      </c>
      <c r="AD37" s="90">
        <f>SUM($C33:AD33)</f>
        <v>51751.006768374515</v>
      </c>
      <c r="AE37" s="253">
        <f>SUM($C33:AE33)</f>
        <v>53876.743050398989</v>
      </c>
      <c r="AW37" s="186"/>
    </row>
    <row r="38" spans="1:49" x14ac:dyDescent="0.2">
      <c r="A38" t="s">
        <v>88</v>
      </c>
    </row>
    <row r="39" spans="1:49" x14ac:dyDescent="0.2">
      <c r="A39" s="28" t="s">
        <v>138</v>
      </c>
    </row>
    <row r="40" spans="1:49" x14ac:dyDescent="0.2">
      <c r="A40" t="s">
        <v>91</v>
      </c>
      <c r="B40" t="s">
        <v>66</v>
      </c>
      <c r="C40" s="22">
        <f>ROUND(+$C35,0)</f>
        <v>111</v>
      </c>
      <c r="D40" s="22">
        <f t="shared" ref="D40:P40" si="22">ROUND(+$C35,0)</f>
        <v>111</v>
      </c>
      <c r="E40" s="22">
        <f t="shared" si="22"/>
        <v>111</v>
      </c>
      <c r="F40" s="22">
        <f t="shared" si="22"/>
        <v>111</v>
      </c>
      <c r="G40" s="22">
        <f t="shared" si="22"/>
        <v>111</v>
      </c>
      <c r="H40" s="22">
        <f t="shared" si="22"/>
        <v>111</v>
      </c>
      <c r="I40" s="22">
        <f t="shared" si="22"/>
        <v>111</v>
      </c>
      <c r="J40" s="22">
        <f t="shared" si="22"/>
        <v>111</v>
      </c>
      <c r="K40" s="22">
        <f t="shared" si="22"/>
        <v>111</v>
      </c>
      <c r="L40" s="22">
        <f t="shared" si="22"/>
        <v>111</v>
      </c>
      <c r="M40" s="22">
        <f t="shared" si="22"/>
        <v>111</v>
      </c>
      <c r="N40" s="22">
        <f t="shared" si="22"/>
        <v>111</v>
      </c>
      <c r="O40" s="22">
        <f t="shared" si="22"/>
        <v>111</v>
      </c>
      <c r="P40" s="107">
        <f t="shared" si="22"/>
        <v>111</v>
      </c>
      <c r="AN40" s="22"/>
      <c r="AO40" s="22"/>
      <c r="AP40" s="22"/>
      <c r="AQ40" s="22"/>
      <c r="AR40" s="22"/>
      <c r="AS40" s="22"/>
      <c r="AT40" s="22"/>
      <c r="AU40" s="22"/>
      <c r="AV40" s="22">
        <f>SUM(C40:AN40)</f>
        <v>1554</v>
      </c>
      <c r="AW40" s="189">
        <f>ROUND(C$33,0)-ROUND($AV40,0)</f>
        <v>0</v>
      </c>
    </row>
    <row r="41" spans="1:49" x14ac:dyDescent="0.2">
      <c r="A41" t="s">
        <v>92</v>
      </c>
      <c r="B41" t="s">
        <v>66</v>
      </c>
      <c r="D41" s="22">
        <f>ROUND(+$D35,0)</f>
        <v>-50</v>
      </c>
      <c r="E41" s="22">
        <f t="shared" ref="E41:M41" si="23">ROUND(+$D35,0)</f>
        <v>-50</v>
      </c>
      <c r="F41" s="22">
        <f t="shared" si="23"/>
        <v>-50</v>
      </c>
      <c r="G41" s="22">
        <f t="shared" si="23"/>
        <v>-50</v>
      </c>
      <c r="H41" s="22">
        <f t="shared" si="23"/>
        <v>-50</v>
      </c>
      <c r="I41" s="22">
        <f t="shared" si="23"/>
        <v>-50</v>
      </c>
      <c r="J41" s="22">
        <f t="shared" si="23"/>
        <v>-50</v>
      </c>
      <c r="K41" s="22">
        <f t="shared" si="23"/>
        <v>-50</v>
      </c>
      <c r="L41" s="22">
        <f t="shared" si="23"/>
        <v>-50</v>
      </c>
      <c r="M41" s="22">
        <f t="shared" si="23"/>
        <v>-50</v>
      </c>
      <c r="N41" s="22">
        <f>ROUND(+$D35,0)+1</f>
        <v>-49</v>
      </c>
      <c r="O41" s="22">
        <f>ROUND(+$D35,0)+1</f>
        <v>-49</v>
      </c>
      <c r="P41" s="107">
        <f>ROUND(+$D35,0)+1</f>
        <v>-49</v>
      </c>
      <c r="Q41" s="107">
        <f>ROUND(+$D35,0)+1</f>
        <v>-49</v>
      </c>
      <c r="AN41" s="22"/>
      <c r="AO41" s="22"/>
      <c r="AP41" s="22"/>
      <c r="AQ41" s="22"/>
      <c r="AR41" s="22"/>
      <c r="AS41" s="22"/>
      <c r="AT41" s="22"/>
      <c r="AU41" s="22"/>
      <c r="AV41" s="22">
        <f t="shared" ref="AV41:AV58" si="24">SUM(C41:AN41)</f>
        <v>-696</v>
      </c>
      <c r="AW41" s="189">
        <f>ROUND(D$33,0)-ROUND($AV41,0)</f>
        <v>0</v>
      </c>
    </row>
    <row r="42" spans="1:49" x14ac:dyDescent="0.2">
      <c r="A42" t="s">
        <v>93</v>
      </c>
      <c r="B42" t="s">
        <v>66</v>
      </c>
      <c r="E42" s="22">
        <f>ROUND(+$E35,0)</f>
        <v>196</v>
      </c>
      <c r="F42" s="22">
        <f t="shared" ref="F42:Q42" si="25">ROUND(+$E35,0)</f>
        <v>196</v>
      </c>
      <c r="G42" s="22">
        <f t="shared" si="25"/>
        <v>196</v>
      </c>
      <c r="H42" s="22">
        <f t="shared" si="25"/>
        <v>196</v>
      </c>
      <c r="I42" s="22">
        <f t="shared" si="25"/>
        <v>196</v>
      </c>
      <c r="J42" s="22">
        <f t="shared" si="25"/>
        <v>196</v>
      </c>
      <c r="K42" s="22">
        <f t="shared" si="25"/>
        <v>196</v>
      </c>
      <c r="L42" s="22">
        <f t="shared" si="25"/>
        <v>196</v>
      </c>
      <c r="M42" s="22">
        <f t="shared" si="25"/>
        <v>196</v>
      </c>
      <c r="N42" s="22">
        <f t="shared" si="25"/>
        <v>196</v>
      </c>
      <c r="O42" s="22">
        <f t="shared" si="25"/>
        <v>196</v>
      </c>
      <c r="P42" s="107">
        <f t="shared" si="25"/>
        <v>196</v>
      </c>
      <c r="Q42" s="107">
        <f t="shared" si="25"/>
        <v>196</v>
      </c>
      <c r="R42" s="107">
        <f>ROUND(+$E35,0)-1</f>
        <v>195</v>
      </c>
      <c r="AN42" s="22"/>
      <c r="AO42" s="22"/>
      <c r="AP42" s="22"/>
      <c r="AQ42" s="22"/>
      <c r="AR42" s="22"/>
      <c r="AS42" s="22"/>
      <c r="AT42" s="22"/>
      <c r="AU42" s="22"/>
      <c r="AV42" s="22">
        <f t="shared" si="24"/>
        <v>2743</v>
      </c>
      <c r="AW42" s="189">
        <f>ROUND(E$33,0)-ROUND($AV42,0)</f>
        <v>0</v>
      </c>
    </row>
    <row r="43" spans="1:49" x14ac:dyDescent="0.2">
      <c r="A43" t="s">
        <v>94</v>
      </c>
      <c r="B43" t="s">
        <v>66</v>
      </c>
      <c r="F43" s="22">
        <f>ROUND(+$F35,0)</f>
        <v>-109</v>
      </c>
      <c r="G43" s="22">
        <f t="shared" ref="G43:N43" si="26">ROUND(+$F35,0)</f>
        <v>-109</v>
      </c>
      <c r="H43" s="22">
        <f t="shared" si="26"/>
        <v>-109</v>
      </c>
      <c r="I43" s="22">
        <f t="shared" si="26"/>
        <v>-109</v>
      </c>
      <c r="J43" s="22">
        <f t="shared" si="26"/>
        <v>-109</v>
      </c>
      <c r="K43" s="22">
        <f t="shared" si="26"/>
        <v>-109</v>
      </c>
      <c r="L43" s="22">
        <f t="shared" si="26"/>
        <v>-109</v>
      </c>
      <c r="M43" s="22">
        <f t="shared" si="26"/>
        <v>-109</v>
      </c>
      <c r="N43" s="22">
        <f t="shared" si="26"/>
        <v>-109</v>
      </c>
      <c r="O43" s="22">
        <f>ROUND(+$F35,0)-1</f>
        <v>-110</v>
      </c>
      <c r="P43" s="107">
        <f>ROUND(+$F35,0)-1</f>
        <v>-110</v>
      </c>
      <c r="Q43" s="107">
        <f>ROUND(+$F35,0)-1</f>
        <v>-110</v>
      </c>
      <c r="R43" s="107">
        <f>ROUND(+$F35,0)-1</f>
        <v>-110</v>
      </c>
      <c r="S43" s="107">
        <f>ROUND(+$F35,0)-1</f>
        <v>-110</v>
      </c>
      <c r="AN43" s="22"/>
      <c r="AO43" s="22"/>
      <c r="AP43" s="22"/>
      <c r="AQ43" s="22"/>
      <c r="AR43" s="22"/>
      <c r="AS43" s="22"/>
      <c r="AT43" s="22"/>
      <c r="AU43" s="22"/>
      <c r="AV43" s="22">
        <f t="shared" si="24"/>
        <v>-1531</v>
      </c>
      <c r="AW43" s="189">
        <f>ROUND(F$33,0)-ROUND($AV43,0)</f>
        <v>0</v>
      </c>
    </row>
    <row r="44" spans="1:49" x14ac:dyDescent="0.2">
      <c r="A44" t="s">
        <v>95</v>
      </c>
      <c r="B44" t="s">
        <v>66</v>
      </c>
      <c r="G44" s="22">
        <f>ROUND(+$G35,0)</f>
        <v>145</v>
      </c>
      <c r="H44" s="22">
        <f t="shared" ref="H44:N44" si="27">ROUND(+$G35,0)</f>
        <v>145</v>
      </c>
      <c r="I44" s="22">
        <f t="shared" si="27"/>
        <v>145</v>
      </c>
      <c r="J44" s="22">
        <f t="shared" si="27"/>
        <v>145</v>
      </c>
      <c r="K44" s="22">
        <f t="shared" si="27"/>
        <v>145</v>
      </c>
      <c r="L44" s="22">
        <f t="shared" si="27"/>
        <v>145</v>
      </c>
      <c r="M44" s="22">
        <f t="shared" si="27"/>
        <v>145</v>
      </c>
      <c r="N44" s="22">
        <f t="shared" si="27"/>
        <v>145</v>
      </c>
      <c r="O44" s="22">
        <f t="shared" ref="O44:T44" si="28">ROUND(+$G35,0)+1</f>
        <v>146</v>
      </c>
      <c r="P44" s="107">
        <f t="shared" si="28"/>
        <v>146</v>
      </c>
      <c r="Q44" s="107">
        <f t="shared" si="28"/>
        <v>146</v>
      </c>
      <c r="R44" s="107">
        <f t="shared" si="28"/>
        <v>146</v>
      </c>
      <c r="S44" s="107">
        <f t="shared" si="28"/>
        <v>146</v>
      </c>
      <c r="T44" s="107">
        <f t="shared" si="28"/>
        <v>146</v>
      </c>
      <c r="AN44" s="22"/>
      <c r="AO44" s="22"/>
      <c r="AP44" s="22"/>
      <c r="AQ44" s="22"/>
      <c r="AR44" s="22"/>
      <c r="AS44" s="22"/>
      <c r="AT44" s="22"/>
      <c r="AU44" s="22"/>
      <c r="AV44" s="22">
        <f t="shared" si="24"/>
        <v>2036</v>
      </c>
      <c r="AW44" s="189">
        <f>ROUND(G$33,0)-ROUND($AV44,0)</f>
        <v>0</v>
      </c>
    </row>
    <row r="45" spans="1:49" x14ac:dyDescent="0.2">
      <c r="A45" t="s">
        <v>96</v>
      </c>
      <c r="B45" t="s">
        <v>66</v>
      </c>
      <c r="H45" s="22">
        <f>ROUND(+$H35,0)</f>
        <v>172</v>
      </c>
      <c r="I45" s="22">
        <f t="shared" ref="I45:S45" si="29">ROUND(+$H35,0)</f>
        <v>172</v>
      </c>
      <c r="J45" s="22">
        <f t="shared" si="29"/>
        <v>172</v>
      </c>
      <c r="K45" s="22">
        <f t="shared" si="29"/>
        <v>172</v>
      </c>
      <c r="L45" s="22">
        <f t="shared" si="29"/>
        <v>172</v>
      </c>
      <c r="M45" s="22">
        <f t="shared" si="29"/>
        <v>172</v>
      </c>
      <c r="N45" s="22">
        <f t="shared" si="29"/>
        <v>172</v>
      </c>
      <c r="O45" s="22">
        <f t="shared" si="29"/>
        <v>172</v>
      </c>
      <c r="P45" s="107">
        <f t="shared" si="29"/>
        <v>172</v>
      </c>
      <c r="Q45" s="107">
        <f t="shared" si="29"/>
        <v>172</v>
      </c>
      <c r="R45" s="107">
        <f t="shared" si="29"/>
        <v>172</v>
      </c>
      <c r="S45" s="107">
        <f t="shared" si="29"/>
        <v>172</v>
      </c>
      <c r="T45" s="107">
        <f>ROUND(+$H35,0)-1</f>
        <v>171</v>
      </c>
      <c r="U45" s="107">
        <f>ROUND(+$H35,0)-1</f>
        <v>171</v>
      </c>
      <c r="AN45" s="22"/>
      <c r="AO45" s="22"/>
      <c r="AP45" s="22"/>
      <c r="AQ45" s="22"/>
      <c r="AR45" s="22"/>
      <c r="AS45" s="22"/>
      <c r="AT45" s="22"/>
      <c r="AU45" s="22"/>
      <c r="AV45" s="22">
        <f t="shared" si="24"/>
        <v>2406</v>
      </c>
      <c r="AW45" s="189">
        <f>ROUND(H$33,0)-ROUND($AV45,0)</f>
        <v>0</v>
      </c>
    </row>
    <row r="46" spans="1:49" x14ac:dyDescent="0.2">
      <c r="A46" t="s">
        <v>97</v>
      </c>
      <c r="B46" t="s">
        <v>66</v>
      </c>
      <c r="I46" s="22">
        <f>ROUND(+$I35,0)</f>
        <v>215</v>
      </c>
      <c r="J46" s="22">
        <f t="shared" ref="J46:O46" si="30">ROUND(+$I35,0)</f>
        <v>215</v>
      </c>
      <c r="K46" s="22">
        <f t="shared" si="30"/>
        <v>215</v>
      </c>
      <c r="L46" s="22">
        <f t="shared" si="30"/>
        <v>215</v>
      </c>
      <c r="M46" s="22">
        <f t="shared" si="30"/>
        <v>215</v>
      </c>
      <c r="N46" s="22">
        <f t="shared" si="30"/>
        <v>215</v>
      </c>
      <c r="O46" s="22">
        <f t="shared" si="30"/>
        <v>215</v>
      </c>
      <c r="P46" s="107">
        <f>ROUND(+$I35,0)</f>
        <v>215</v>
      </c>
      <c r="Q46" s="107">
        <f>ROUND(+$I35,0)+1</f>
        <v>216</v>
      </c>
      <c r="R46" s="107">
        <f>ROUND(+$I35,0)+1</f>
        <v>216</v>
      </c>
      <c r="S46" s="107">
        <f>ROUND(+$I35,0)+1</f>
        <v>216</v>
      </c>
      <c r="T46" s="107">
        <f>ROUND(+$I35,0)+1</f>
        <v>216</v>
      </c>
      <c r="U46" s="107">
        <f>ROUND(+$I35,0)+1</f>
        <v>216</v>
      </c>
      <c r="AN46" s="22"/>
      <c r="AO46" s="22"/>
      <c r="AP46" s="22"/>
      <c r="AQ46" s="22"/>
      <c r="AR46" s="22"/>
      <c r="AS46" s="22"/>
      <c r="AT46" s="22"/>
      <c r="AU46" s="22"/>
      <c r="AV46" s="22">
        <f t="shared" si="24"/>
        <v>2800</v>
      </c>
      <c r="AW46" s="189">
        <f>ROUND(I$33,0)-ROUND($AV46,0)</f>
        <v>0</v>
      </c>
    </row>
    <row r="47" spans="1:49" x14ac:dyDescent="0.2">
      <c r="A47" t="s">
        <v>98</v>
      </c>
      <c r="B47" t="s">
        <v>66</v>
      </c>
      <c r="J47" s="22">
        <f>ROUND(+$J35,0)</f>
        <v>212</v>
      </c>
      <c r="K47" s="22">
        <f t="shared" ref="K47:S47" si="31">ROUND(+$J35,0)</f>
        <v>212</v>
      </c>
      <c r="L47" s="22">
        <f t="shared" si="31"/>
        <v>212</v>
      </c>
      <c r="M47" s="22">
        <f t="shared" si="31"/>
        <v>212</v>
      </c>
      <c r="N47" s="22">
        <f t="shared" si="31"/>
        <v>212</v>
      </c>
      <c r="O47" s="22">
        <f t="shared" si="31"/>
        <v>212</v>
      </c>
      <c r="P47" s="107">
        <f t="shared" si="31"/>
        <v>212</v>
      </c>
      <c r="Q47" s="107">
        <f t="shared" si="31"/>
        <v>212</v>
      </c>
      <c r="R47" s="107">
        <f t="shared" si="31"/>
        <v>212</v>
      </c>
      <c r="S47" s="107">
        <f t="shared" si="31"/>
        <v>212</v>
      </c>
      <c r="T47" s="107">
        <f>ROUND(+$J35,0)-1</f>
        <v>211</v>
      </c>
      <c r="U47" s="107">
        <f>ROUND(+$J35,0)-1</f>
        <v>211</v>
      </c>
      <c r="V47" s="107">
        <f>ROUND(+$J35,0)-1</f>
        <v>211</v>
      </c>
      <c r="AN47" s="22"/>
      <c r="AO47" s="22"/>
      <c r="AP47" s="22"/>
      <c r="AQ47" s="22"/>
      <c r="AR47" s="22"/>
      <c r="AS47" s="22"/>
      <c r="AT47" s="22"/>
      <c r="AU47" s="22"/>
      <c r="AV47" s="22">
        <f t="shared" si="24"/>
        <v>2753</v>
      </c>
      <c r="AW47" s="189">
        <f>ROUND(J$33,0)-ROUND($AV47,0)</f>
        <v>0</v>
      </c>
    </row>
    <row r="48" spans="1:49" x14ac:dyDescent="0.2">
      <c r="A48" t="s">
        <v>99</v>
      </c>
      <c r="B48" t="s">
        <v>66</v>
      </c>
      <c r="K48" s="22">
        <f>ROUND(+$K35,0)</f>
        <v>319</v>
      </c>
      <c r="L48" s="22">
        <f t="shared" ref="L48:W48" si="32">ROUND(+$K35,0)</f>
        <v>319</v>
      </c>
      <c r="M48" s="22">
        <f t="shared" si="32"/>
        <v>319</v>
      </c>
      <c r="N48" s="22">
        <f t="shared" si="32"/>
        <v>319</v>
      </c>
      <c r="O48" s="22">
        <f t="shared" si="32"/>
        <v>319</v>
      </c>
      <c r="P48" s="107">
        <f t="shared" si="32"/>
        <v>319</v>
      </c>
      <c r="Q48" s="107">
        <f t="shared" si="32"/>
        <v>319</v>
      </c>
      <c r="R48" s="107">
        <f t="shared" si="32"/>
        <v>319</v>
      </c>
      <c r="S48" s="107">
        <f t="shared" si="32"/>
        <v>319</v>
      </c>
      <c r="T48" s="107">
        <f t="shared" si="32"/>
        <v>319</v>
      </c>
      <c r="U48" s="107">
        <f t="shared" si="32"/>
        <v>319</v>
      </c>
      <c r="V48" s="107">
        <f t="shared" si="32"/>
        <v>319</v>
      </c>
      <c r="W48" s="107">
        <f t="shared" si="32"/>
        <v>319</v>
      </c>
      <c r="X48" s="107">
        <f>ROUND(+$K35,0)</f>
        <v>319</v>
      </c>
      <c r="Y48" s="107"/>
      <c r="AN48" s="22"/>
      <c r="AO48" s="22"/>
      <c r="AP48" s="22"/>
      <c r="AQ48" s="22"/>
      <c r="AR48" s="22"/>
      <c r="AS48" s="22"/>
      <c r="AT48" s="22"/>
      <c r="AU48" s="22"/>
      <c r="AV48" s="22">
        <f t="shared" si="24"/>
        <v>4466</v>
      </c>
      <c r="AW48" s="189">
        <f>ROUND(K$33,0)-ROUND($AV48,0)</f>
        <v>0</v>
      </c>
    </row>
    <row r="49" spans="1:49" x14ac:dyDescent="0.2">
      <c r="A49" t="s">
        <v>100</v>
      </c>
      <c r="B49" t="s">
        <v>66</v>
      </c>
      <c r="L49" s="22">
        <f>ROUND(+$L35,0)</f>
        <v>165</v>
      </c>
      <c r="M49" s="22">
        <f t="shared" ref="M49:T49" si="33">ROUND(+$L35,0)</f>
        <v>165</v>
      </c>
      <c r="N49" s="22">
        <f t="shared" si="33"/>
        <v>165</v>
      </c>
      <c r="O49" s="22">
        <f t="shared" si="33"/>
        <v>165</v>
      </c>
      <c r="P49" s="107">
        <f t="shared" si="33"/>
        <v>165</v>
      </c>
      <c r="Q49" s="107">
        <f t="shared" si="33"/>
        <v>165</v>
      </c>
      <c r="R49" s="107">
        <f t="shared" si="33"/>
        <v>165</v>
      </c>
      <c r="S49" s="107">
        <f t="shared" si="33"/>
        <v>165</v>
      </c>
      <c r="T49" s="107">
        <f t="shared" si="33"/>
        <v>165</v>
      </c>
      <c r="U49" s="107">
        <f>ROUND(+$L35,0)+1</f>
        <v>166</v>
      </c>
      <c r="V49" s="107">
        <f>ROUND(+$L35,0)+1</f>
        <v>166</v>
      </c>
      <c r="W49" s="107">
        <f>ROUND(+$L35,0)+1</f>
        <v>166</v>
      </c>
      <c r="X49" s="107">
        <f>ROUND(+$L35,0)+1</f>
        <v>166</v>
      </c>
      <c r="Y49" s="107">
        <f>ROUND(+$L35,0)+1</f>
        <v>166</v>
      </c>
      <c r="AN49" s="22"/>
      <c r="AO49" s="22"/>
      <c r="AP49" s="22"/>
      <c r="AQ49" s="22"/>
      <c r="AR49" s="22"/>
      <c r="AS49" s="22"/>
      <c r="AT49" s="22"/>
      <c r="AU49" s="22"/>
      <c r="AV49" s="22">
        <f t="shared" si="24"/>
        <v>2315</v>
      </c>
      <c r="AW49" s="189">
        <f>ROUND(L$33,0)-ROUND($AV49,0)</f>
        <v>0</v>
      </c>
    </row>
    <row r="50" spans="1:49" x14ac:dyDescent="0.2">
      <c r="A50" t="s">
        <v>101</v>
      </c>
      <c r="B50" t="s">
        <v>66</v>
      </c>
      <c r="M50" s="22">
        <f>ROUND(+$M35,0)</f>
        <v>-126</v>
      </c>
      <c r="N50" s="22">
        <f t="shared" ref="N50:X50" si="34">ROUND(+$M35,0)</f>
        <v>-126</v>
      </c>
      <c r="O50" s="22">
        <f t="shared" si="34"/>
        <v>-126</v>
      </c>
      <c r="P50" s="107">
        <f t="shared" si="34"/>
        <v>-126</v>
      </c>
      <c r="Q50" s="107">
        <f t="shared" si="34"/>
        <v>-126</v>
      </c>
      <c r="R50" s="107">
        <f t="shared" si="34"/>
        <v>-126</v>
      </c>
      <c r="S50" s="107">
        <f t="shared" si="34"/>
        <v>-126</v>
      </c>
      <c r="T50" s="107">
        <f t="shared" si="34"/>
        <v>-126</v>
      </c>
      <c r="U50" s="107">
        <f t="shared" si="34"/>
        <v>-126</v>
      </c>
      <c r="V50" s="107">
        <f t="shared" si="34"/>
        <v>-126</v>
      </c>
      <c r="W50" s="107">
        <f t="shared" si="34"/>
        <v>-126</v>
      </c>
      <c r="X50" s="107">
        <f t="shared" si="34"/>
        <v>-126</v>
      </c>
      <c r="Y50" s="107">
        <f>ROUND(+$M35,0)-1</f>
        <v>-127</v>
      </c>
      <c r="AN50" s="22"/>
      <c r="AO50" s="22"/>
      <c r="AP50" s="22"/>
      <c r="AQ50" s="22"/>
      <c r="AR50" s="22"/>
      <c r="AS50" s="22"/>
      <c r="AT50" s="22"/>
      <c r="AU50" s="22"/>
      <c r="AV50" s="22">
        <f t="shared" si="24"/>
        <v>-1639</v>
      </c>
      <c r="AW50" s="189">
        <f>ROUND(M$33,0)-ROUND($AV50,0)</f>
        <v>0</v>
      </c>
    </row>
    <row r="51" spans="1:49" x14ac:dyDescent="0.2">
      <c r="A51" t="s">
        <v>102</v>
      </c>
      <c r="B51" t="s">
        <v>66</v>
      </c>
      <c r="N51" s="22">
        <f>ROUND(+$N35,0)</f>
        <v>22</v>
      </c>
      <c r="O51" s="22">
        <f t="shared" ref="O51:U51" si="35">ROUND(+$N35,0)</f>
        <v>22</v>
      </c>
      <c r="P51" s="107">
        <f t="shared" si="35"/>
        <v>22</v>
      </c>
      <c r="Q51" s="107">
        <f t="shared" si="35"/>
        <v>22</v>
      </c>
      <c r="R51" s="107">
        <f t="shared" si="35"/>
        <v>22</v>
      </c>
      <c r="S51" s="107">
        <f t="shared" si="35"/>
        <v>22</v>
      </c>
      <c r="T51" s="107">
        <f t="shared" si="35"/>
        <v>22</v>
      </c>
      <c r="U51" s="107">
        <f t="shared" si="35"/>
        <v>22</v>
      </c>
      <c r="V51" s="107">
        <f>ROUND(+$N35,0)-1</f>
        <v>21</v>
      </c>
      <c r="W51" s="107">
        <f>ROUND(+$N35,0)-1</f>
        <v>21</v>
      </c>
      <c r="X51" s="107">
        <f>ROUND(+$N35,0)-1</f>
        <v>21</v>
      </c>
      <c r="Y51" s="107">
        <f>ROUND(+$N35,0)-1</f>
        <v>21</v>
      </c>
      <c r="Z51" s="107">
        <f>ROUND(+$N35,0)-1</f>
        <v>21</v>
      </c>
      <c r="AA51" s="356"/>
      <c r="AB51" s="85"/>
      <c r="AC51" s="85"/>
      <c r="AD51" s="85"/>
      <c r="AE51" s="247"/>
      <c r="AF51" s="22"/>
      <c r="AG51" s="22"/>
      <c r="AH51" s="22"/>
      <c r="AI51" s="22"/>
      <c r="AJ51" s="22"/>
      <c r="AK51" s="22"/>
      <c r="AL51" s="22"/>
      <c r="AM51" s="22"/>
      <c r="AN51" s="22"/>
      <c r="AO51" s="22"/>
      <c r="AP51" s="22"/>
      <c r="AQ51" s="22"/>
      <c r="AR51" s="22"/>
      <c r="AS51" s="22"/>
      <c r="AT51" s="22"/>
      <c r="AU51" s="22"/>
      <c r="AV51" s="22">
        <f t="shared" si="24"/>
        <v>281</v>
      </c>
      <c r="AW51" s="189">
        <f>ROUND(N$33,0)-ROUND($AV51,0)</f>
        <v>0</v>
      </c>
    </row>
    <row r="52" spans="1:49" x14ac:dyDescent="0.2">
      <c r="A52" t="s">
        <v>308</v>
      </c>
      <c r="B52" t="s">
        <v>66</v>
      </c>
      <c r="N52" s="22"/>
      <c r="O52" s="22">
        <f>ROUND(+$O35,0)</f>
        <v>-48</v>
      </c>
      <c r="P52" s="107">
        <f t="shared" ref="P52:Z52" si="36">ROUND(+$O35,0)</f>
        <v>-48</v>
      </c>
      <c r="Q52" s="107">
        <f t="shared" si="36"/>
        <v>-48</v>
      </c>
      <c r="R52" s="107">
        <f t="shared" si="36"/>
        <v>-48</v>
      </c>
      <c r="S52" s="107">
        <f t="shared" si="36"/>
        <v>-48</v>
      </c>
      <c r="T52" s="107">
        <f t="shared" si="36"/>
        <v>-48</v>
      </c>
      <c r="U52" s="107">
        <f t="shared" si="36"/>
        <v>-48</v>
      </c>
      <c r="V52" s="107">
        <f t="shared" si="36"/>
        <v>-48</v>
      </c>
      <c r="W52" s="107">
        <f t="shared" si="36"/>
        <v>-48</v>
      </c>
      <c r="X52" s="107">
        <f t="shared" si="36"/>
        <v>-48</v>
      </c>
      <c r="Y52" s="107">
        <f t="shared" si="36"/>
        <v>-48</v>
      </c>
      <c r="Z52" s="107">
        <f t="shared" si="36"/>
        <v>-48</v>
      </c>
      <c r="AA52" s="356">
        <f>ROUND(+$O35,0)+1</f>
        <v>-47</v>
      </c>
      <c r="AB52" s="85"/>
      <c r="AC52" s="85"/>
      <c r="AD52" s="85"/>
      <c r="AE52" s="247"/>
      <c r="AF52" s="22"/>
      <c r="AG52" s="22"/>
      <c r="AH52" s="22"/>
      <c r="AI52" s="22"/>
      <c r="AJ52" s="22"/>
      <c r="AK52" s="22"/>
      <c r="AL52" s="22"/>
      <c r="AM52" s="22"/>
      <c r="AN52" s="22"/>
      <c r="AO52" s="22"/>
      <c r="AP52" s="22"/>
      <c r="AQ52" s="22"/>
      <c r="AR52" s="22"/>
      <c r="AS52" s="22"/>
      <c r="AT52" s="22"/>
      <c r="AU52" s="22"/>
      <c r="AV52" s="22">
        <f t="shared" si="24"/>
        <v>-623</v>
      </c>
      <c r="AW52" s="189">
        <f>ROUND(O$33,0)-ROUND($AV52,0)</f>
        <v>0</v>
      </c>
    </row>
    <row r="53" spans="1:49" s="116" customFormat="1" x14ac:dyDescent="0.2">
      <c r="A53" s="116" t="s">
        <v>310</v>
      </c>
      <c r="B53" t="s">
        <v>66</v>
      </c>
      <c r="N53" s="107"/>
      <c r="O53" s="107"/>
      <c r="P53" s="107">
        <f>ROUND(+$P35,0)</f>
        <v>23</v>
      </c>
      <c r="Q53" s="107">
        <f t="shared" ref="Q53:Z53" si="37">ROUND(+$P35,0)</f>
        <v>23</v>
      </c>
      <c r="R53" s="107">
        <f t="shared" si="37"/>
        <v>23</v>
      </c>
      <c r="S53" s="107">
        <f t="shared" si="37"/>
        <v>23</v>
      </c>
      <c r="T53" s="107">
        <f t="shared" si="37"/>
        <v>23</v>
      </c>
      <c r="U53" s="107">
        <f t="shared" si="37"/>
        <v>23</v>
      </c>
      <c r="V53" s="107">
        <f t="shared" si="37"/>
        <v>23</v>
      </c>
      <c r="W53" s="107">
        <f t="shared" si="37"/>
        <v>23</v>
      </c>
      <c r="X53" s="107">
        <f t="shared" si="37"/>
        <v>23</v>
      </c>
      <c r="Y53" s="107">
        <f t="shared" si="37"/>
        <v>23</v>
      </c>
      <c r="Z53" s="107">
        <f t="shared" si="37"/>
        <v>23</v>
      </c>
      <c r="AA53" s="356">
        <f>ROUND(+$P35,0)-1</f>
        <v>22</v>
      </c>
      <c r="AB53" s="85">
        <f>ROUND(+$P35,0)-1</f>
        <v>22</v>
      </c>
      <c r="AC53" s="85"/>
      <c r="AD53" s="85"/>
      <c r="AE53" s="247"/>
      <c r="AF53" s="107"/>
      <c r="AG53" s="107"/>
      <c r="AH53" s="107"/>
      <c r="AI53" s="107"/>
      <c r="AJ53" s="107"/>
      <c r="AK53" s="107"/>
      <c r="AL53" s="107"/>
      <c r="AM53" s="107"/>
      <c r="AN53" s="107"/>
      <c r="AO53" s="107"/>
      <c r="AP53" s="107"/>
      <c r="AQ53" s="107"/>
      <c r="AR53" s="107"/>
      <c r="AS53" s="107"/>
      <c r="AT53" s="107"/>
      <c r="AU53" s="107"/>
      <c r="AV53" s="107">
        <f t="shared" si="24"/>
        <v>297</v>
      </c>
      <c r="AW53" s="189">
        <f>ROUND(P$33,0)-ROUND($AV53,0)</f>
        <v>0</v>
      </c>
    </row>
    <row r="54" spans="1:49" s="116" customFormat="1" x14ac:dyDescent="0.2">
      <c r="A54" s="116" t="s">
        <v>311</v>
      </c>
      <c r="B54" t="s">
        <v>66</v>
      </c>
      <c r="N54" s="107"/>
      <c r="O54" s="107"/>
      <c r="P54" s="107"/>
      <c r="Q54" s="107"/>
      <c r="R54" s="107">
        <f t="shared" ref="R54:Z54" si="38">ROUND(+$Q35,0)</f>
        <v>-46</v>
      </c>
      <c r="S54" s="107">
        <f t="shared" si="38"/>
        <v>-46</v>
      </c>
      <c r="T54" s="107">
        <f t="shared" si="38"/>
        <v>-46</v>
      </c>
      <c r="U54" s="107">
        <f t="shared" si="38"/>
        <v>-46</v>
      </c>
      <c r="V54" s="107">
        <f t="shared" si="38"/>
        <v>-46</v>
      </c>
      <c r="W54" s="107">
        <f t="shared" si="38"/>
        <v>-46</v>
      </c>
      <c r="X54" s="107">
        <f t="shared" si="38"/>
        <v>-46</v>
      </c>
      <c r="Y54" s="107">
        <f t="shared" si="38"/>
        <v>-46</v>
      </c>
      <c r="Z54" s="107">
        <f t="shared" si="38"/>
        <v>-46</v>
      </c>
      <c r="AA54" s="356">
        <f>ROUND(+$Q35,0)-1</f>
        <v>-47</v>
      </c>
      <c r="AB54" s="85">
        <f>ROUND(+$Q35,0)-1</f>
        <v>-47</v>
      </c>
      <c r="AC54" s="85">
        <f>ROUND(+$Q35,0)-1</f>
        <v>-47</v>
      </c>
      <c r="AD54" s="85">
        <f>ROUND(+$Q35,0)-1</f>
        <v>-47</v>
      </c>
      <c r="AE54" s="247"/>
      <c r="AF54" s="107"/>
      <c r="AG54" s="107"/>
      <c r="AH54" s="107"/>
      <c r="AI54" s="107"/>
      <c r="AJ54" s="107"/>
      <c r="AK54" s="107"/>
      <c r="AL54" s="107"/>
      <c r="AM54" s="107"/>
      <c r="AN54" s="107"/>
      <c r="AO54" s="107"/>
      <c r="AP54" s="107"/>
      <c r="AQ54" s="107"/>
      <c r="AR54" s="107"/>
      <c r="AS54" s="107"/>
      <c r="AT54" s="107"/>
      <c r="AU54" s="107"/>
      <c r="AV54" s="107">
        <f t="shared" si="24"/>
        <v>-602</v>
      </c>
      <c r="AW54" s="189">
        <f>ROUND(Q$33,0)-ROUND($AV54,0)</f>
        <v>0</v>
      </c>
    </row>
    <row r="55" spans="1:49" s="116" customFormat="1" x14ac:dyDescent="0.2">
      <c r="A55" s="116" t="s">
        <v>312</v>
      </c>
      <c r="B55" s="116" t="s">
        <v>66</v>
      </c>
      <c r="N55" s="107"/>
      <c r="O55" s="107"/>
      <c r="P55" s="107"/>
      <c r="Q55" s="107"/>
      <c r="R55" s="107"/>
      <c r="S55" s="107">
        <f t="shared" ref="S55:Y55" si="39">ROUND(+$R35,0)</f>
        <v>240</v>
      </c>
      <c r="T55" s="107">
        <f t="shared" si="39"/>
        <v>240</v>
      </c>
      <c r="U55" s="107">
        <f t="shared" si="39"/>
        <v>240</v>
      </c>
      <c r="V55" s="107">
        <f t="shared" si="39"/>
        <v>240</v>
      </c>
      <c r="W55" s="107">
        <f t="shared" si="39"/>
        <v>240</v>
      </c>
      <c r="X55" s="107">
        <f t="shared" si="39"/>
        <v>240</v>
      </c>
      <c r="Y55" s="107">
        <f t="shared" si="39"/>
        <v>240</v>
      </c>
      <c r="Z55" s="107">
        <f t="shared" ref="Z55:AE55" si="40">ROUND(+$R35,0)</f>
        <v>240</v>
      </c>
      <c r="AA55" s="356">
        <f t="shared" si="40"/>
        <v>240</v>
      </c>
      <c r="AB55" s="85">
        <f t="shared" si="40"/>
        <v>240</v>
      </c>
      <c r="AC55" s="85">
        <f t="shared" si="40"/>
        <v>240</v>
      </c>
      <c r="AD55" s="85">
        <f t="shared" si="40"/>
        <v>240</v>
      </c>
      <c r="AE55" s="247">
        <f t="shared" si="40"/>
        <v>240</v>
      </c>
      <c r="AF55" s="107">
        <f>ROUND(+$R35,0)*0.6-4</f>
        <v>140</v>
      </c>
      <c r="AG55" s="107"/>
      <c r="AH55" s="107"/>
      <c r="AI55" s="107"/>
      <c r="AJ55" s="107"/>
      <c r="AK55" s="107"/>
      <c r="AL55" s="107"/>
      <c r="AM55" s="107"/>
      <c r="AN55" s="107"/>
      <c r="AO55" s="107"/>
      <c r="AP55" s="107"/>
      <c r="AQ55" s="107"/>
      <c r="AR55" s="107"/>
      <c r="AS55" s="107"/>
      <c r="AT55" s="107"/>
      <c r="AU55" s="107"/>
      <c r="AV55" s="107">
        <f t="shared" si="24"/>
        <v>3260</v>
      </c>
      <c r="AW55" s="189">
        <f>ROUND(R$33,0)-ROUND($AV55,0)</f>
        <v>0</v>
      </c>
    </row>
    <row r="56" spans="1:49" s="116" customFormat="1" x14ac:dyDescent="0.2">
      <c r="A56" s="116" t="s">
        <v>313</v>
      </c>
      <c r="B56" s="116" t="s">
        <v>66</v>
      </c>
      <c r="N56" s="107"/>
      <c r="O56" s="107"/>
      <c r="P56" s="107"/>
      <c r="Q56" s="107"/>
      <c r="R56" s="107"/>
      <c r="S56" s="107"/>
      <c r="T56" s="107">
        <f t="shared" ref="T56:Z56" si="41">ROUND(+$S35,0)</f>
        <v>294</v>
      </c>
      <c r="U56" s="107">
        <f t="shared" si="41"/>
        <v>294</v>
      </c>
      <c r="V56" s="107">
        <f t="shared" si="41"/>
        <v>294</v>
      </c>
      <c r="W56" s="107">
        <f t="shared" si="41"/>
        <v>294</v>
      </c>
      <c r="X56" s="107">
        <f t="shared" si="41"/>
        <v>294</v>
      </c>
      <c r="Y56" s="107">
        <f t="shared" si="41"/>
        <v>294</v>
      </c>
      <c r="Z56" s="107">
        <f t="shared" si="41"/>
        <v>294</v>
      </c>
      <c r="AA56" s="356">
        <f t="shared" ref="AA56:AF56" si="42">ROUND(+$S35,0)</f>
        <v>294</v>
      </c>
      <c r="AB56" s="85">
        <f t="shared" si="42"/>
        <v>294</v>
      </c>
      <c r="AC56" s="85">
        <f t="shared" si="42"/>
        <v>294</v>
      </c>
      <c r="AD56" s="85">
        <f t="shared" si="42"/>
        <v>294</v>
      </c>
      <c r="AE56" s="247">
        <f t="shared" si="42"/>
        <v>294</v>
      </c>
      <c r="AF56" s="107">
        <f t="shared" si="42"/>
        <v>294</v>
      </c>
      <c r="AG56" s="107">
        <f>ROUND(+$S35,0)-60</f>
        <v>234</v>
      </c>
      <c r="AH56" s="107"/>
      <c r="AI56" s="107"/>
      <c r="AJ56" s="107"/>
      <c r="AK56" s="107"/>
      <c r="AL56" s="107"/>
      <c r="AM56" s="107"/>
      <c r="AN56" s="107"/>
      <c r="AO56" s="107"/>
      <c r="AP56" s="107"/>
      <c r="AQ56" s="107"/>
      <c r="AR56" s="107"/>
      <c r="AS56" s="107"/>
      <c r="AT56" s="107"/>
      <c r="AU56" s="107"/>
      <c r="AV56" s="107">
        <f t="shared" si="24"/>
        <v>4056</v>
      </c>
      <c r="AW56" s="189">
        <f>ROUND(S$33,0)-ROUND($AV56,0)</f>
        <v>0</v>
      </c>
    </row>
    <row r="57" spans="1:49" s="116" customFormat="1" x14ac:dyDescent="0.2">
      <c r="A57" s="116" t="s">
        <v>314</v>
      </c>
      <c r="B57" s="116" t="s">
        <v>66</v>
      </c>
      <c r="N57" s="107"/>
      <c r="O57" s="107"/>
      <c r="P57" s="107"/>
      <c r="Q57" s="107"/>
      <c r="R57" s="107"/>
      <c r="S57" s="107"/>
      <c r="T57" s="208"/>
      <c r="U57" s="107">
        <f t="shared" ref="U57:AA57" si="43">ROUND(+$T35,0)</f>
        <v>-198</v>
      </c>
      <c r="V57" s="107">
        <f t="shared" si="43"/>
        <v>-198</v>
      </c>
      <c r="W57" s="107">
        <f t="shared" si="43"/>
        <v>-198</v>
      </c>
      <c r="X57" s="107">
        <f t="shared" si="43"/>
        <v>-198</v>
      </c>
      <c r="Y57" s="107">
        <f t="shared" si="43"/>
        <v>-198</v>
      </c>
      <c r="Z57" s="107">
        <f t="shared" si="43"/>
        <v>-198</v>
      </c>
      <c r="AA57" s="356">
        <f t="shared" si="43"/>
        <v>-198</v>
      </c>
      <c r="AB57" s="85">
        <f t="shared" ref="AB57:AG57" si="44">ROUND(+$T35,0)</f>
        <v>-198</v>
      </c>
      <c r="AC57" s="85">
        <f t="shared" si="44"/>
        <v>-198</v>
      </c>
      <c r="AD57" s="85">
        <f t="shared" si="44"/>
        <v>-198</v>
      </c>
      <c r="AE57" s="247">
        <f t="shared" si="44"/>
        <v>-198</v>
      </c>
      <c r="AF57" s="107">
        <f t="shared" si="44"/>
        <v>-198</v>
      </c>
      <c r="AG57" s="107">
        <f t="shared" si="44"/>
        <v>-198</v>
      </c>
      <c r="AH57" s="107">
        <f>ROUND(+$T35,0)-1</f>
        <v>-199</v>
      </c>
      <c r="AI57" s="107"/>
      <c r="AJ57" s="107"/>
      <c r="AK57" s="107"/>
      <c r="AL57" s="107"/>
      <c r="AM57" s="107"/>
      <c r="AN57" s="107"/>
      <c r="AO57" s="107"/>
      <c r="AP57" s="107"/>
      <c r="AQ57" s="107"/>
      <c r="AR57" s="107"/>
      <c r="AS57" s="107"/>
      <c r="AT57" s="107"/>
      <c r="AU57" s="107"/>
      <c r="AV57" s="107">
        <f t="shared" si="24"/>
        <v>-2773</v>
      </c>
      <c r="AW57" s="189">
        <f>ROUND(T$33,0)-ROUND($AV57,0)</f>
        <v>0</v>
      </c>
    </row>
    <row r="58" spans="1:49" s="116" customFormat="1" x14ac:dyDescent="0.2">
      <c r="A58" s="116" t="s">
        <v>329</v>
      </c>
      <c r="B58" s="116" t="s">
        <v>66</v>
      </c>
      <c r="N58" s="107"/>
      <c r="O58" s="107"/>
      <c r="P58" s="107"/>
      <c r="Q58" s="107"/>
      <c r="R58" s="107"/>
      <c r="S58" s="107"/>
      <c r="T58" s="107"/>
      <c r="U58" s="107"/>
      <c r="V58" s="107">
        <f>ROUND(+$U35,0)</f>
        <v>-269</v>
      </c>
      <c r="W58" s="107">
        <f t="shared" ref="W58:AH58" si="45">ROUND(+$U35,0)</f>
        <v>-269</v>
      </c>
      <c r="X58" s="107">
        <f t="shared" si="45"/>
        <v>-269</v>
      </c>
      <c r="Y58" s="107">
        <f t="shared" si="45"/>
        <v>-269</v>
      </c>
      <c r="Z58" s="107">
        <f t="shared" si="45"/>
        <v>-269</v>
      </c>
      <c r="AA58" s="356">
        <f t="shared" si="45"/>
        <v>-269</v>
      </c>
      <c r="AB58" s="85">
        <f t="shared" si="45"/>
        <v>-269</v>
      </c>
      <c r="AC58" s="85">
        <f t="shared" si="45"/>
        <v>-269</v>
      </c>
      <c r="AD58" s="85">
        <f t="shared" si="45"/>
        <v>-269</v>
      </c>
      <c r="AE58" s="247">
        <f t="shared" si="45"/>
        <v>-269</v>
      </c>
      <c r="AF58" s="107">
        <f t="shared" si="45"/>
        <v>-269</v>
      </c>
      <c r="AG58" s="107">
        <f t="shared" si="45"/>
        <v>-269</v>
      </c>
      <c r="AH58" s="107">
        <f t="shared" si="45"/>
        <v>-269</v>
      </c>
      <c r="AI58" s="107">
        <f>ROUND(+$U35,0)+1</f>
        <v>-268</v>
      </c>
      <c r="AJ58" s="107"/>
      <c r="AK58" s="107"/>
      <c r="AL58" s="107"/>
      <c r="AM58" s="107"/>
      <c r="AN58" s="107"/>
      <c r="AO58" s="107"/>
      <c r="AP58" s="107"/>
      <c r="AQ58" s="107"/>
      <c r="AR58" s="107"/>
      <c r="AS58" s="107"/>
      <c r="AT58" s="107"/>
      <c r="AU58" s="107"/>
      <c r="AV58" s="107">
        <f t="shared" si="24"/>
        <v>-3765</v>
      </c>
      <c r="AW58" s="190">
        <f>ROUND(U$33,0)-ROUND($AV58,0)</f>
        <v>0</v>
      </c>
    </row>
    <row r="59" spans="1:49" s="116" customFormat="1" x14ac:dyDescent="0.2">
      <c r="A59" s="116" t="s">
        <v>332</v>
      </c>
      <c r="B59" s="116" t="s">
        <v>66</v>
      </c>
      <c r="N59" s="107"/>
      <c r="O59" s="107"/>
      <c r="P59" s="107"/>
      <c r="Q59" s="107"/>
      <c r="R59" s="107"/>
      <c r="S59" s="107"/>
      <c r="T59" s="107"/>
      <c r="U59" s="107"/>
      <c r="V59" s="107"/>
      <c r="W59" s="107">
        <f t="shared" ref="W59:AE59" si="46">ROUND(+$V35,0)</f>
        <v>114</v>
      </c>
      <c r="X59" s="107">
        <f t="shared" si="46"/>
        <v>114</v>
      </c>
      <c r="Y59" s="107">
        <f t="shared" si="46"/>
        <v>114</v>
      </c>
      <c r="Z59" s="107">
        <f t="shared" si="46"/>
        <v>114</v>
      </c>
      <c r="AA59" s="356">
        <f t="shared" si="46"/>
        <v>114</v>
      </c>
      <c r="AB59" s="85">
        <f t="shared" si="46"/>
        <v>114</v>
      </c>
      <c r="AC59" s="85">
        <f t="shared" si="46"/>
        <v>114</v>
      </c>
      <c r="AD59" s="85">
        <f t="shared" si="46"/>
        <v>114</v>
      </c>
      <c r="AE59" s="247">
        <f t="shared" si="46"/>
        <v>114</v>
      </c>
      <c r="AF59" s="107">
        <f>ROUND(+$V35,0)</f>
        <v>114</v>
      </c>
      <c r="AG59" s="107">
        <f>ROUND(+$V35,0)</f>
        <v>114</v>
      </c>
      <c r="AH59" s="107">
        <f>ROUND(+$V35,0)</f>
        <v>114</v>
      </c>
      <c r="AI59" s="107">
        <f>ROUND(+$V35,0)</f>
        <v>114</v>
      </c>
      <c r="AJ59" s="208">
        <f>ROUND(+$V35,0)-12-6</f>
        <v>96</v>
      </c>
      <c r="AK59" s="107"/>
      <c r="AL59" s="107"/>
      <c r="AM59" s="107"/>
      <c r="AN59" s="107"/>
      <c r="AO59" s="107"/>
      <c r="AP59" s="107"/>
      <c r="AQ59" s="107"/>
      <c r="AR59" s="107"/>
      <c r="AS59" s="107"/>
      <c r="AT59" s="107"/>
      <c r="AU59" s="107"/>
      <c r="AV59" s="107">
        <f>SUM(C59:AN59)</f>
        <v>1578</v>
      </c>
      <c r="AW59" s="190">
        <f>ROUND(V$33,0)-ROUND($AV59,0)</f>
        <v>0</v>
      </c>
    </row>
    <row r="60" spans="1:49" s="116" customFormat="1" x14ac:dyDescent="0.2">
      <c r="A60" s="116" t="s">
        <v>336</v>
      </c>
      <c r="B60" s="116" t="s">
        <v>66</v>
      </c>
      <c r="N60" s="107"/>
      <c r="O60" s="107"/>
      <c r="P60" s="107"/>
      <c r="Q60" s="107"/>
      <c r="R60" s="107"/>
      <c r="S60" s="107"/>
      <c r="T60" s="107"/>
      <c r="U60" s="107"/>
      <c r="V60" s="107"/>
      <c r="W60" s="107"/>
      <c r="X60" s="107">
        <f>ROUND(+$W35,0)</f>
        <v>-309</v>
      </c>
      <c r="Y60" s="107">
        <f>ROUND(+$W35,0)</f>
        <v>-309</v>
      </c>
      <c r="Z60" s="107">
        <f>ROUND(+$W35,0)</f>
        <v>-309</v>
      </c>
      <c r="AA60" s="356">
        <f>ROUND(+$W35,0)</f>
        <v>-309</v>
      </c>
      <c r="AB60" s="85">
        <f t="shared" ref="AB60:AG60" si="47">ROUND(+$W35,0)</f>
        <v>-309</v>
      </c>
      <c r="AC60" s="85">
        <f t="shared" si="47"/>
        <v>-309</v>
      </c>
      <c r="AD60" s="85">
        <f t="shared" si="47"/>
        <v>-309</v>
      </c>
      <c r="AE60" s="247">
        <f t="shared" si="47"/>
        <v>-309</v>
      </c>
      <c r="AF60" s="107">
        <f t="shared" si="47"/>
        <v>-309</v>
      </c>
      <c r="AG60" s="107">
        <f t="shared" si="47"/>
        <v>-309</v>
      </c>
      <c r="AH60" s="107">
        <f>ROUND(+$W35,0)</f>
        <v>-309</v>
      </c>
      <c r="AI60" s="107">
        <f>ROUND(+$W35,0)</f>
        <v>-309</v>
      </c>
      <c r="AJ60" s="107">
        <f>ROUND(+$W35,0)</f>
        <v>-309</v>
      </c>
      <c r="AK60" s="107">
        <f>ROUND(+$W35,0)+38</f>
        <v>-271</v>
      </c>
      <c r="AL60" s="208">
        <f>-77+13+1</f>
        <v>-63</v>
      </c>
      <c r="AM60" s="107"/>
      <c r="AN60" s="107"/>
      <c r="AO60" s="107"/>
      <c r="AP60" s="107"/>
      <c r="AQ60" s="107"/>
      <c r="AR60" s="107"/>
      <c r="AS60" s="107"/>
      <c r="AT60" s="107"/>
      <c r="AU60" s="107"/>
      <c r="AV60" s="107">
        <f>SUM(C60:AN60)</f>
        <v>-4351</v>
      </c>
      <c r="AW60" s="190">
        <f>ROUND(W$33,0)-ROUND($AV60,0)</f>
        <v>0</v>
      </c>
    </row>
    <row r="61" spans="1:49" s="116" customFormat="1" x14ac:dyDescent="0.2">
      <c r="A61" s="116" t="s">
        <v>350</v>
      </c>
      <c r="B61" s="116" t="s">
        <v>66</v>
      </c>
      <c r="N61" s="107"/>
      <c r="O61" s="107"/>
      <c r="P61" s="107"/>
      <c r="Q61" s="107"/>
      <c r="R61" s="107"/>
      <c r="S61" s="107"/>
      <c r="T61" s="107"/>
      <c r="U61" s="107" t="s">
        <v>352</v>
      </c>
      <c r="V61" s="107" t="s">
        <v>353</v>
      </c>
      <c r="W61" s="107"/>
      <c r="X61" s="107"/>
      <c r="Y61" s="107">
        <f>ROUND(+$X35,0)</f>
        <v>69</v>
      </c>
      <c r="Z61" s="107">
        <f t="shared" ref="Z61:AL61" si="48">ROUND(+$X35,0)</f>
        <v>69</v>
      </c>
      <c r="AA61" s="356">
        <f t="shared" si="48"/>
        <v>69</v>
      </c>
      <c r="AB61" s="85">
        <f t="shared" si="48"/>
        <v>69</v>
      </c>
      <c r="AC61" s="85">
        <f t="shared" si="48"/>
        <v>69</v>
      </c>
      <c r="AD61" s="85">
        <f t="shared" si="48"/>
        <v>69</v>
      </c>
      <c r="AE61" s="247">
        <f t="shared" si="48"/>
        <v>69</v>
      </c>
      <c r="AF61" s="107">
        <f t="shared" si="48"/>
        <v>69</v>
      </c>
      <c r="AG61" s="107">
        <f t="shared" si="48"/>
        <v>69</v>
      </c>
      <c r="AH61" s="107">
        <f t="shared" si="48"/>
        <v>69</v>
      </c>
      <c r="AI61" s="107">
        <f t="shared" si="48"/>
        <v>69</v>
      </c>
      <c r="AJ61" s="107">
        <f t="shared" si="48"/>
        <v>69</v>
      </c>
      <c r="AK61" s="107">
        <f t="shared" si="48"/>
        <v>69</v>
      </c>
      <c r="AL61" s="107">
        <f t="shared" si="48"/>
        <v>69</v>
      </c>
      <c r="AM61" s="107">
        <f>ROUND(+$X35,0)*0.6-3</f>
        <v>38.4</v>
      </c>
      <c r="AN61" s="107"/>
      <c r="AO61" s="107"/>
      <c r="AP61" s="107"/>
      <c r="AQ61" s="107"/>
      <c r="AR61" s="107"/>
      <c r="AS61" s="107"/>
      <c r="AT61" s="107"/>
      <c r="AU61" s="107"/>
      <c r="AV61" s="107">
        <f>SUM(C61:AN61)</f>
        <v>1004.4</v>
      </c>
      <c r="AW61" s="190">
        <f>ROUND(X$33,0)-ROUND($AV61,0)</f>
        <v>0</v>
      </c>
    </row>
    <row r="62" spans="1:49" s="116" customFormat="1" x14ac:dyDescent="0.2">
      <c r="A62" s="116" t="s">
        <v>355</v>
      </c>
      <c r="B62" s="116" t="s">
        <v>66</v>
      </c>
      <c r="N62" s="107"/>
      <c r="O62" s="107"/>
      <c r="P62" s="107"/>
      <c r="Q62" s="107"/>
      <c r="R62" s="107"/>
      <c r="S62" s="107"/>
      <c r="T62" s="107"/>
      <c r="U62" s="107" t="s">
        <v>352</v>
      </c>
      <c r="V62" s="107" t="s">
        <v>353</v>
      </c>
      <c r="W62" s="107"/>
      <c r="X62" s="107"/>
      <c r="Y62" s="107"/>
      <c r="Z62" s="107">
        <f>ROUND(+$Y35,0)</f>
        <v>421</v>
      </c>
      <c r="AA62" s="356">
        <f t="shared" ref="AA62:AF62" si="49">ROUND(+$Y35,0)</f>
        <v>421</v>
      </c>
      <c r="AB62" s="85">
        <f t="shared" si="49"/>
        <v>421</v>
      </c>
      <c r="AC62" s="85">
        <f t="shared" si="49"/>
        <v>421</v>
      </c>
      <c r="AD62" s="85">
        <f t="shared" si="49"/>
        <v>421</v>
      </c>
      <c r="AE62" s="247">
        <f t="shared" si="49"/>
        <v>421</v>
      </c>
      <c r="AF62" s="107">
        <f t="shared" si="49"/>
        <v>421</v>
      </c>
      <c r="AG62" s="107">
        <f t="shared" ref="AG62:AM62" si="50">ROUND(+$Y35,0)</f>
        <v>421</v>
      </c>
      <c r="AH62" s="107">
        <f t="shared" si="50"/>
        <v>421</v>
      </c>
      <c r="AI62" s="107">
        <f t="shared" si="50"/>
        <v>421</v>
      </c>
      <c r="AJ62" s="107">
        <f t="shared" si="50"/>
        <v>421</v>
      </c>
      <c r="AK62" s="107">
        <f t="shared" si="50"/>
        <v>421</v>
      </c>
      <c r="AL62" s="107">
        <f t="shared" si="50"/>
        <v>421</v>
      </c>
      <c r="AM62" s="107">
        <f t="shared" si="50"/>
        <v>421</v>
      </c>
      <c r="AN62" s="107">
        <f>ROUND(+$Y35,0)*0.5</f>
        <v>210.5</v>
      </c>
      <c r="AO62" s="107"/>
      <c r="AP62" s="107"/>
      <c r="AQ62" s="107"/>
      <c r="AR62" s="107"/>
      <c r="AS62" s="107"/>
      <c r="AT62" s="107"/>
      <c r="AU62" s="107"/>
      <c r="AV62" s="107">
        <f>SUM(C62:AN62)</f>
        <v>6104.5</v>
      </c>
      <c r="AW62" s="190">
        <f>ROUND(Y$33,0)-ROUND($AV62,0)</f>
        <v>0</v>
      </c>
    </row>
    <row r="63" spans="1:49" s="116" customFormat="1" x14ac:dyDescent="0.2">
      <c r="A63" s="116" t="s">
        <v>358</v>
      </c>
      <c r="B63" s="116" t="s">
        <v>66</v>
      </c>
      <c r="N63" s="107"/>
      <c r="O63" s="107"/>
      <c r="P63" s="107"/>
      <c r="Q63" s="107"/>
      <c r="R63" s="107"/>
      <c r="S63" s="107"/>
      <c r="T63" s="107"/>
      <c r="U63" s="107" t="s">
        <v>352</v>
      </c>
      <c r="V63" s="107" t="s">
        <v>353</v>
      </c>
      <c r="W63" s="107"/>
      <c r="X63" s="107"/>
      <c r="Y63" s="107"/>
      <c r="Z63" s="107"/>
      <c r="AA63" s="356">
        <f>ROUND(+$Z35,0)</f>
        <v>433</v>
      </c>
      <c r="AB63" s="85">
        <f t="shared" ref="AB63:AM63" si="51">ROUND(+$Z35,0)</f>
        <v>433</v>
      </c>
      <c r="AC63" s="85">
        <f t="shared" si="51"/>
        <v>433</v>
      </c>
      <c r="AD63" s="85">
        <f t="shared" si="51"/>
        <v>433</v>
      </c>
      <c r="AE63" s="247">
        <f t="shared" si="51"/>
        <v>433</v>
      </c>
      <c r="AF63" s="107">
        <f t="shared" si="51"/>
        <v>433</v>
      </c>
      <c r="AG63" s="509">
        <f t="shared" si="51"/>
        <v>433</v>
      </c>
      <c r="AH63" s="509">
        <f t="shared" si="51"/>
        <v>433</v>
      </c>
      <c r="AI63" s="509">
        <f t="shared" si="51"/>
        <v>433</v>
      </c>
      <c r="AJ63" s="509">
        <f t="shared" si="51"/>
        <v>433</v>
      </c>
      <c r="AK63" s="509">
        <f t="shared" si="51"/>
        <v>433</v>
      </c>
      <c r="AL63" s="509">
        <f t="shared" si="51"/>
        <v>433</v>
      </c>
      <c r="AM63" s="509">
        <f t="shared" si="51"/>
        <v>433</v>
      </c>
      <c r="AN63" s="509">
        <f>ROUND(+$Z35,0)</f>
        <v>433</v>
      </c>
      <c r="AO63" s="510">
        <f>ROUND(+$Z35,0)*0.4+6</f>
        <v>179.20000000000002</v>
      </c>
      <c r="AP63" s="509"/>
      <c r="AQ63" s="509"/>
      <c r="AR63" s="509"/>
      <c r="AS63" s="509"/>
      <c r="AT63" s="509"/>
      <c r="AU63" s="509"/>
      <c r="AV63" s="107">
        <f>SUM(C63:AO63)</f>
        <v>6241.2</v>
      </c>
      <c r="AW63" s="190">
        <f>ROUND(Z$33,0)-ROUND($AV63,0)</f>
        <v>0</v>
      </c>
    </row>
    <row r="64" spans="1:49" s="116" customFormat="1" x14ac:dyDescent="0.2">
      <c r="A64" s="506" t="s">
        <v>363</v>
      </c>
      <c r="B64" s="506" t="s">
        <v>66</v>
      </c>
      <c r="C64" s="506"/>
      <c r="D64" s="506"/>
      <c r="E64" s="506"/>
      <c r="F64" s="506"/>
      <c r="G64" s="506"/>
      <c r="H64" s="506"/>
      <c r="I64" s="506"/>
      <c r="J64" s="506"/>
      <c r="K64" s="506"/>
      <c r="L64" s="506"/>
      <c r="M64" s="506"/>
      <c r="N64" s="507"/>
      <c r="O64" s="507"/>
      <c r="P64" s="507"/>
      <c r="Q64" s="507"/>
      <c r="R64" s="507"/>
      <c r="S64" s="507"/>
      <c r="T64" s="507"/>
      <c r="U64" s="507"/>
      <c r="V64" s="507"/>
      <c r="W64" s="507"/>
      <c r="X64" s="507"/>
      <c r="Y64" s="507"/>
      <c r="Z64" s="507"/>
      <c r="AA64" s="507"/>
      <c r="AB64" s="507">
        <f>ROUND($AA$35,0)</f>
        <v>593</v>
      </c>
      <c r="AC64" s="507">
        <f t="shared" ref="AC64:AK64" si="52">ROUND($AA$35,0)</f>
        <v>593</v>
      </c>
      <c r="AD64" s="507">
        <f t="shared" si="52"/>
        <v>593</v>
      </c>
      <c r="AE64" s="507">
        <f t="shared" si="52"/>
        <v>593</v>
      </c>
      <c r="AF64" s="507">
        <f t="shared" si="52"/>
        <v>593</v>
      </c>
      <c r="AG64" s="507">
        <f t="shared" si="52"/>
        <v>593</v>
      </c>
      <c r="AH64" s="507">
        <f t="shared" si="52"/>
        <v>593</v>
      </c>
      <c r="AI64" s="507">
        <f t="shared" si="52"/>
        <v>593</v>
      </c>
      <c r="AJ64" s="507">
        <f t="shared" si="52"/>
        <v>593</v>
      </c>
      <c r="AK64" s="507">
        <f t="shared" si="52"/>
        <v>593</v>
      </c>
      <c r="AL64" s="507">
        <f>ROUND($AA$35,0)-1</f>
        <v>592</v>
      </c>
      <c r="AM64" s="507">
        <f>ROUND($AA$35,0)-1</f>
        <v>592</v>
      </c>
      <c r="AN64" s="507">
        <f>ROUND($AA$35,0)-1</f>
        <v>592</v>
      </c>
      <c r="AO64" s="507">
        <f>ROUND($AA$35,0)-1</f>
        <v>592</v>
      </c>
      <c r="AP64" s="507">
        <f>ROUND($AA$35,0)-1</f>
        <v>592</v>
      </c>
      <c r="AQ64" s="508">
        <f>ROUND($AA$35,0)*0.3+6</f>
        <v>183.9</v>
      </c>
      <c r="AR64" s="507"/>
      <c r="AS64" s="507"/>
      <c r="AT64" s="507"/>
      <c r="AU64" s="507"/>
      <c r="AV64" s="107">
        <f>SUM(C64:AQ64)</f>
        <v>9073.9</v>
      </c>
      <c r="AW64" s="225">
        <f>ROUND(AA$33,0)-ROUND($AV64,0)</f>
        <v>0</v>
      </c>
    </row>
    <row r="65" spans="1:49" s="116" customFormat="1" x14ac:dyDescent="0.2">
      <c r="A65" s="318" t="s">
        <v>368</v>
      </c>
      <c r="B65" s="76" t="s">
        <v>66</v>
      </c>
      <c r="C65" s="76"/>
      <c r="D65" s="76"/>
      <c r="E65" s="76"/>
      <c r="F65" s="76"/>
      <c r="G65" s="76"/>
      <c r="H65" s="76"/>
      <c r="I65" s="76"/>
      <c r="J65" s="76"/>
      <c r="K65" s="76"/>
      <c r="L65" s="76"/>
      <c r="M65" s="76"/>
      <c r="N65" s="85"/>
      <c r="O65" s="85"/>
      <c r="P65" s="85"/>
      <c r="Q65" s="85"/>
      <c r="R65" s="85"/>
      <c r="S65" s="85"/>
      <c r="T65" s="85"/>
      <c r="U65" s="85"/>
      <c r="V65" s="85"/>
      <c r="W65" s="85"/>
      <c r="X65" s="85"/>
      <c r="Y65" s="85"/>
      <c r="Z65" s="85"/>
      <c r="AA65" s="356"/>
      <c r="AB65" s="85"/>
      <c r="AC65" s="85">
        <f>ROUND($AB$35,0)</f>
        <v>418</v>
      </c>
      <c r="AD65" s="85">
        <f t="shared" ref="AD65:AQ65" si="53">ROUND($AB$35,0)</f>
        <v>418</v>
      </c>
      <c r="AE65" s="247">
        <f t="shared" si="53"/>
        <v>418</v>
      </c>
      <c r="AF65" s="85">
        <f t="shared" si="53"/>
        <v>418</v>
      </c>
      <c r="AG65" s="85">
        <f t="shared" si="53"/>
        <v>418</v>
      </c>
      <c r="AH65" s="85">
        <f t="shared" si="53"/>
        <v>418</v>
      </c>
      <c r="AI65" s="85">
        <f t="shared" si="53"/>
        <v>418</v>
      </c>
      <c r="AJ65" s="85">
        <f t="shared" si="53"/>
        <v>418</v>
      </c>
      <c r="AK65" s="85">
        <f t="shared" si="53"/>
        <v>418</v>
      </c>
      <c r="AL65" s="85">
        <f t="shared" si="53"/>
        <v>418</v>
      </c>
      <c r="AM65" s="85">
        <f t="shared" si="53"/>
        <v>418</v>
      </c>
      <c r="AN65" s="85">
        <f t="shared" si="53"/>
        <v>418</v>
      </c>
      <c r="AO65" s="85">
        <f t="shared" si="53"/>
        <v>418</v>
      </c>
      <c r="AP65" s="85">
        <f t="shared" si="53"/>
        <v>418</v>
      </c>
      <c r="AQ65" s="85">
        <f t="shared" si="53"/>
        <v>418</v>
      </c>
      <c r="AR65" s="410">
        <f>ROUND($AB$35,0)*0.3+5</f>
        <v>130.39999999999998</v>
      </c>
      <c r="AS65" s="85"/>
      <c r="AT65" s="85"/>
      <c r="AU65" s="85"/>
      <c r="AV65" s="107">
        <f>SUM(AC65:AR65)</f>
        <v>6400.4</v>
      </c>
      <c r="AW65" s="225">
        <f>AB33-AV65</f>
        <v>-0.40971546275795845</v>
      </c>
    </row>
    <row r="66" spans="1:49" s="116" customFormat="1" x14ac:dyDescent="0.2">
      <c r="A66" s="318" t="s">
        <v>371</v>
      </c>
      <c r="B66" s="76" t="s">
        <v>66</v>
      </c>
      <c r="C66" s="76"/>
      <c r="D66" s="76"/>
      <c r="E66" s="76"/>
      <c r="F66" s="76"/>
      <c r="G66" s="76"/>
      <c r="H66" s="76"/>
      <c r="I66" s="76"/>
      <c r="J66" s="76"/>
      <c r="K66" s="76"/>
      <c r="L66" s="76"/>
      <c r="M66" s="76"/>
      <c r="N66" s="85"/>
      <c r="O66" s="85"/>
      <c r="P66" s="85"/>
      <c r="Q66" s="85"/>
      <c r="R66" s="85"/>
      <c r="S66" s="85"/>
      <c r="T66" s="85"/>
      <c r="U66" s="85"/>
      <c r="V66" s="85"/>
      <c r="W66" s="85"/>
      <c r="X66" s="85"/>
      <c r="Y66" s="85"/>
      <c r="Z66" s="85"/>
      <c r="AA66" s="356"/>
      <c r="AB66" s="85"/>
      <c r="AC66" s="85"/>
      <c r="AD66" s="85">
        <f>ROUND($AC$35,0)</f>
        <v>312</v>
      </c>
      <c r="AE66" s="247">
        <f t="shared" ref="AE66:AR66" si="54">ROUND($AC$35,0)</f>
        <v>312</v>
      </c>
      <c r="AF66" s="85">
        <f t="shared" si="54"/>
        <v>312</v>
      </c>
      <c r="AG66" s="85">
        <f t="shared" si="54"/>
        <v>312</v>
      </c>
      <c r="AH66" s="85">
        <f t="shared" si="54"/>
        <v>312</v>
      </c>
      <c r="AI66" s="85">
        <f t="shared" si="54"/>
        <v>312</v>
      </c>
      <c r="AJ66" s="85">
        <f t="shared" si="54"/>
        <v>312</v>
      </c>
      <c r="AK66" s="85">
        <f t="shared" si="54"/>
        <v>312</v>
      </c>
      <c r="AL66" s="85">
        <f t="shared" si="54"/>
        <v>312</v>
      </c>
      <c r="AM66" s="85">
        <f t="shared" si="54"/>
        <v>312</v>
      </c>
      <c r="AN66" s="85">
        <f t="shared" si="54"/>
        <v>312</v>
      </c>
      <c r="AO66" s="85">
        <f t="shared" si="54"/>
        <v>312</v>
      </c>
      <c r="AP66" s="85">
        <f t="shared" si="54"/>
        <v>312</v>
      </c>
      <c r="AQ66" s="85">
        <f t="shared" si="54"/>
        <v>312</v>
      </c>
      <c r="AR66" s="85">
        <f t="shared" si="54"/>
        <v>312</v>
      </c>
      <c r="AS66" s="410">
        <f>ROUND($AC$35,0)*0.3-4</f>
        <v>89.6</v>
      </c>
      <c r="AT66" s="85"/>
      <c r="AU66" s="85"/>
      <c r="AV66" s="107">
        <f>SUM(AC66:AT66)</f>
        <v>4769.6000000000004</v>
      </c>
      <c r="AW66" s="225">
        <f>AC33-AV66</f>
        <v>-0.10439138384572288</v>
      </c>
    </row>
    <row r="67" spans="1:49" s="116" customFormat="1" x14ac:dyDescent="0.2">
      <c r="A67" s="402" t="s">
        <v>407</v>
      </c>
      <c r="B67" s="76" t="s">
        <v>66</v>
      </c>
      <c r="C67" s="76"/>
      <c r="D67" s="76"/>
      <c r="E67" s="76"/>
      <c r="F67" s="76"/>
      <c r="G67" s="76"/>
      <c r="H67" s="76"/>
      <c r="I67" s="76"/>
      <c r="J67" s="76"/>
      <c r="K67" s="76"/>
      <c r="L67" s="76"/>
      <c r="M67" s="76"/>
      <c r="N67" s="85"/>
      <c r="O67" s="85"/>
      <c r="P67" s="85"/>
      <c r="Q67" s="85"/>
      <c r="R67" s="85"/>
      <c r="S67" s="85"/>
      <c r="T67" s="85"/>
      <c r="U67" s="85"/>
      <c r="V67" s="85"/>
      <c r="W67" s="85"/>
      <c r="X67" s="85"/>
      <c r="Y67" s="85"/>
      <c r="Z67" s="85"/>
      <c r="AA67" s="356"/>
      <c r="AB67" s="85"/>
      <c r="AC67" s="85"/>
      <c r="AD67" s="85"/>
      <c r="AE67" s="247">
        <f>ROUND($AD$35,0)</f>
        <v>235</v>
      </c>
      <c r="AF67" s="85">
        <f t="shared" ref="AF67:AS67" si="55">ROUND($AD$35,0)</f>
        <v>235</v>
      </c>
      <c r="AG67" s="85">
        <f t="shared" si="55"/>
        <v>235</v>
      </c>
      <c r="AH67" s="85">
        <f t="shared" si="55"/>
        <v>235</v>
      </c>
      <c r="AI67" s="85">
        <f t="shared" si="55"/>
        <v>235</v>
      </c>
      <c r="AJ67" s="85">
        <f t="shared" si="55"/>
        <v>235</v>
      </c>
      <c r="AK67" s="85">
        <f t="shared" si="55"/>
        <v>235</v>
      </c>
      <c r="AL67" s="85">
        <f t="shared" si="55"/>
        <v>235</v>
      </c>
      <c r="AM67" s="85">
        <f t="shared" si="55"/>
        <v>235</v>
      </c>
      <c r="AN67" s="85">
        <f t="shared" si="55"/>
        <v>235</v>
      </c>
      <c r="AO67" s="85">
        <f t="shared" si="55"/>
        <v>235</v>
      </c>
      <c r="AP67" s="85">
        <f t="shared" si="55"/>
        <v>235</v>
      </c>
      <c r="AQ67" s="85">
        <f t="shared" si="55"/>
        <v>235</v>
      </c>
      <c r="AR67" s="85">
        <f t="shared" si="55"/>
        <v>235</v>
      </c>
      <c r="AS67" s="85">
        <f t="shared" si="55"/>
        <v>235</v>
      </c>
      <c r="AT67" s="410">
        <f>ROUND($AD$35,0)*0.3-4</f>
        <v>66.5</v>
      </c>
      <c r="AU67" s="85"/>
      <c r="AV67" s="107">
        <f>SUM(AC67:AT67)</f>
        <v>3591.5</v>
      </c>
      <c r="AW67" s="225">
        <f>ROUND(AD33,0)-ROUND(AV67,0)</f>
        <v>0</v>
      </c>
    </row>
    <row r="68" spans="1:49" s="116" customFormat="1" x14ac:dyDescent="0.2">
      <c r="A68" s="236" t="s">
        <v>445</v>
      </c>
      <c r="B68" s="76" t="s">
        <v>66</v>
      </c>
      <c r="C68" s="76"/>
      <c r="D68" s="76"/>
      <c r="E68" s="76"/>
      <c r="F68" s="76"/>
      <c r="G68" s="76"/>
      <c r="H68" s="76"/>
      <c r="I68" s="76"/>
      <c r="J68" s="76"/>
      <c r="K68" s="76"/>
      <c r="L68" s="76"/>
      <c r="M68" s="76"/>
      <c r="N68" s="85"/>
      <c r="O68" s="85"/>
      <c r="P68" s="85"/>
      <c r="Q68" s="85"/>
      <c r="R68" s="85"/>
      <c r="S68" s="85"/>
      <c r="T68" s="85"/>
      <c r="U68" s="85"/>
      <c r="V68" s="85"/>
      <c r="W68" s="85"/>
      <c r="X68" s="85"/>
      <c r="Y68" s="85"/>
      <c r="Z68" s="85"/>
      <c r="AA68" s="356"/>
      <c r="AB68" s="85"/>
      <c r="AC68" s="85"/>
      <c r="AD68" s="85"/>
      <c r="AE68" s="247"/>
      <c r="AF68" s="85">
        <f>ROUND($AE$35,0)</f>
        <v>139</v>
      </c>
      <c r="AG68" s="85">
        <f t="shared" ref="AG68:AT68" si="56">ROUND($AE$35,0)</f>
        <v>139</v>
      </c>
      <c r="AH68" s="85">
        <f t="shared" si="56"/>
        <v>139</v>
      </c>
      <c r="AI68" s="85">
        <f t="shared" si="56"/>
        <v>139</v>
      </c>
      <c r="AJ68" s="85">
        <f t="shared" si="56"/>
        <v>139</v>
      </c>
      <c r="AK68" s="85">
        <f t="shared" si="56"/>
        <v>139</v>
      </c>
      <c r="AL68" s="85">
        <f t="shared" si="56"/>
        <v>139</v>
      </c>
      <c r="AM68" s="85">
        <f t="shared" si="56"/>
        <v>139</v>
      </c>
      <c r="AN68" s="85">
        <f t="shared" si="56"/>
        <v>139</v>
      </c>
      <c r="AO68" s="85">
        <f t="shared" si="56"/>
        <v>139</v>
      </c>
      <c r="AP68" s="85">
        <f t="shared" si="56"/>
        <v>139</v>
      </c>
      <c r="AQ68" s="85">
        <f t="shared" si="56"/>
        <v>139</v>
      </c>
      <c r="AR68" s="85">
        <f t="shared" si="56"/>
        <v>139</v>
      </c>
      <c r="AS68" s="85">
        <f t="shared" si="56"/>
        <v>139</v>
      </c>
      <c r="AT68" s="85">
        <f t="shared" si="56"/>
        <v>139</v>
      </c>
      <c r="AU68" s="505">
        <f>ROUND($AE$35,0)*0.3-1</f>
        <v>40.699999999999996</v>
      </c>
      <c r="AV68" s="107">
        <f>SUM(AC68:AU68)</f>
        <v>2125.6999999999998</v>
      </c>
      <c r="AW68" s="225">
        <f>ROUND(AE33,0)-ROUND(AV68,0)</f>
        <v>0</v>
      </c>
    </row>
    <row r="69" spans="1:49" s="31" customFormat="1" x14ac:dyDescent="0.2">
      <c r="A69" s="31" t="s">
        <v>90</v>
      </c>
      <c r="B69" s="31" t="s">
        <v>31</v>
      </c>
      <c r="C69" s="37">
        <f>SUM(C40:C67)</f>
        <v>111</v>
      </c>
      <c r="D69" s="37">
        <f t="shared" ref="D69:AC69" si="57">SUM(D40:D67)</f>
        <v>61</v>
      </c>
      <c r="E69" s="37">
        <f t="shared" si="57"/>
        <v>257</v>
      </c>
      <c r="F69" s="37">
        <f t="shared" si="57"/>
        <v>148</v>
      </c>
      <c r="G69" s="37">
        <f t="shared" si="57"/>
        <v>293</v>
      </c>
      <c r="H69" s="37">
        <f t="shared" si="57"/>
        <v>465</v>
      </c>
      <c r="I69" s="37">
        <f t="shared" si="57"/>
        <v>680</v>
      </c>
      <c r="J69" s="37">
        <f t="shared" si="57"/>
        <v>892</v>
      </c>
      <c r="K69" s="37">
        <f t="shared" si="57"/>
        <v>1211</v>
      </c>
      <c r="L69" s="37">
        <f t="shared" si="57"/>
        <v>1376</v>
      </c>
      <c r="M69" s="37">
        <f t="shared" si="57"/>
        <v>1250</v>
      </c>
      <c r="N69" s="37">
        <f t="shared" si="57"/>
        <v>1273</v>
      </c>
      <c r="O69" s="37">
        <f t="shared" si="57"/>
        <v>1225</v>
      </c>
      <c r="P69" s="137">
        <f t="shared" si="57"/>
        <v>1248</v>
      </c>
      <c r="Q69" s="137">
        <f t="shared" si="57"/>
        <v>1138</v>
      </c>
      <c r="R69" s="137">
        <f t="shared" si="57"/>
        <v>1140</v>
      </c>
      <c r="S69" s="137">
        <f t="shared" si="57"/>
        <v>1185</v>
      </c>
      <c r="T69" s="137">
        <f t="shared" si="57"/>
        <v>1587</v>
      </c>
      <c r="U69" s="137">
        <f t="shared" si="57"/>
        <v>1244</v>
      </c>
      <c r="V69" s="137">
        <f t="shared" si="57"/>
        <v>587</v>
      </c>
      <c r="W69" s="137">
        <f t="shared" si="57"/>
        <v>490</v>
      </c>
      <c r="X69" s="137">
        <f t="shared" si="57"/>
        <v>181</v>
      </c>
      <c r="Y69" s="137">
        <f t="shared" si="57"/>
        <v>-70</v>
      </c>
      <c r="Z69" s="137">
        <f>SUM(Z40:Z67)</f>
        <v>312</v>
      </c>
      <c r="AA69" s="362">
        <f t="shared" si="57"/>
        <v>723</v>
      </c>
      <c r="AB69" s="91">
        <f t="shared" si="57"/>
        <v>1363</v>
      </c>
      <c r="AC69" s="91">
        <f t="shared" si="57"/>
        <v>1759</v>
      </c>
      <c r="AD69" s="91">
        <f>SUM(AD40:AD67)</f>
        <v>2071</v>
      </c>
      <c r="AE69" s="254">
        <f>SUM(AE40:AE67)</f>
        <v>2353</v>
      </c>
      <c r="AF69" s="37">
        <f>SUM(AF40:AF68)</f>
        <v>2392</v>
      </c>
      <c r="AG69" s="37">
        <f t="shared" ref="AG69:AS69" si="58">SUM(AG40:AG68)</f>
        <v>2192</v>
      </c>
      <c r="AH69" s="37">
        <f t="shared" si="58"/>
        <v>1957</v>
      </c>
      <c r="AI69" s="37">
        <f t="shared" si="58"/>
        <v>2157</v>
      </c>
      <c r="AJ69" s="37">
        <f t="shared" si="58"/>
        <v>2407</v>
      </c>
      <c r="AK69" s="37">
        <f t="shared" si="58"/>
        <v>2349</v>
      </c>
      <c r="AL69" s="37">
        <f t="shared" si="58"/>
        <v>2556</v>
      </c>
      <c r="AM69" s="37">
        <f t="shared" si="58"/>
        <v>2588.4</v>
      </c>
      <c r="AN69" s="37">
        <f t="shared" si="58"/>
        <v>2339.5</v>
      </c>
      <c r="AO69" s="37">
        <f t="shared" si="58"/>
        <v>1875.2</v>
      </c>
      <c r="AP69" s="37">
        <f t="shared" si="58"/>
        <v>1696</v>
      </c>
      <c r="AQ69" s="37">
        <f t="shared" si="58"/>
        <v>1287.9000000000001</v>
      </c>
      <c r="AR69" s="37">
        <f t="shared" si="58"/>
        <v>816.4</v>
      </c>
      <c r="AS69" s="37">
        <f t="shared" si="58"/>
        <v>463.6</v>
      </c>
      <c r="AT69" s="37">
        <f>SUM(AT40:AT68)</f>
        <v>205.5</v>
      </c>
      <c r="AU69" s="37">
        <f>SUM(AU40:AU68)</f>
        <v>40.699999999999996</v>
      </c>
      <c r="AV69" s="107"/>
      <c r="AW69" s="188"/>
    </row>
    <row r="71" spans="1:49" s="3" customFormat="1" ht="15" x14ac:dyDescent="0.35">
      <c r="A71" s="41" t="s">
        <v>139</v>
      </c>
      <c r="D71" s="3">
        <f>'Data Input'!F16</f>
        <v>0</v>
      </c>
      <c r="E71" s="3">
        <f>'Data Input'!G16</f>
        <v>0</v>
      </c>
      <c r="F71" s="3">
        <f>'Data Input'!H16</f>
        <v>0</v>
      </c>
      <c r="G71" s="3">
        <f>'Data Input'!I16</f>
        <v>0</v>
      </c>
      <c r="H71" s="3">
        <f>'Data Input'!J16+500</f>
        <v>758</v>
      </c>
      <c r="I71" s="3">
        <f>'Data Input'!K16-500</f>
        <v>1513</v>
      </c>
      <c r="J71" s="3">
        <f>'Data Input'!L16</f>
        <v>0</v>
      </c>
      <c r="K71" s="3">
        <f>'Data Input'!M16</f>
        <v>0</v>
      </c>
      <c r="L71" s="3">
        <f>'Data Input'!N16</f>
        <v>0</v>
      </c>
      <c r="M71" s="3">
        <f>'Data Input'!O16</f>
        <v>4519</v>
      </c>
      <c r="N71" s="3">
        <f>'Data Input'!P16</f>
        <v>0</v>
      </c>
      <c r="O71" s="3">
        <f>'Data Input'!Q16</f>
        <v>0</v>
      </c>
      <c r="P71" s="122">
        <f>'Data Input'!R16</f>
        <v>0</v>
      </c>
      <c r="Q71" s="122">
        <f>'Data Input'!S16</f>
        <v>0</v>
      </c>
      <c r="R71" s="122">
        <f>'Data Input'!T16</f>
        <v>0</v>
      </c>
      <c r="S71" s="122">
        <f>'Data Input'!U16</f>
        <v>0</v>
      </c>
      <c r="T71" s="122">
        <f>'Data Input'!V16</f>
        <v>0</v>
      </c>
      <c r="U71" s="122">
        <f>'Data Input'!W16</f>
        <v>0</v>
      </c>
      <c r="V71" s="122">
        <f>'Data Input'!X16</f>
        <v>0</v>
      </c>
      <c r="W71" s="122">
        <f>'Data Input'!Y16</f>
        <v>0</v>
      </c>
      <c r="X71" s="122">
        <f>'Data Input'!Z16</f>
        <v>0</v>
      </c>
      <c r="Y71" s="122">
        <f>'Data Input'!AA16</f>
        <v>0</v>
      </c>
      <c r="Z71" s="122"/>
      <c r="AA71" s="352"/>
      <c r="AB71" s="79"/>
      <c r="AC71" s="79"/>
      <c r="AD71" s="79"/>
      <c r="AE71" s="241"/>
      <c r="AW71" s="179"/>
    </row>
    <row r="73" spans="1:49" x14ac:dyDescent="0.2">
      <c r="A73" s="28" t="s">
        <v>140</v>
      </c>
    </row>
    <row r="74" spans="1:49" s="3" customFormat="1" x14ac:dyDescent="0.2">
      <c r="A74" s="3" t="s">
        <v>112</v>
      </c>
      <c r="B74" s="3" t="s">
        <v>122</v>
      </c>
      <c r="H74" s="3">
        <f>amendment!C16</f>
        <v>-85</v>
      </c>
      <c r="I74" s="3">
        <f>amendment!D16</f>
        <v>-85</v>
      </c>
      <c r="J74" s="3">
        <f>amendment!E16</f>
        <v>-84</v>
      </c>
      <c r="K74" s="3">
        <f>amendment!F16</f>
        <v>-84</v>
      </c>
      <c r="L74" s="3">
        <f>amendment!G16</f>
        <v>-84</v>
      </c>
      <c r="M74" s="3">
        <f>amendment!H16</f>
        <v>-84</v>
      </c>
      <c r="N74" s="3">
        <f>amendment!I16</f>
        <v>-84</v>
      </c>
      <c r="O74" s="3">
        <f>amendment!J16</f>
        <v>-84</v>
      </c>
      <c r="P74" s="122">
        <f>amendment!K16</f>
        <v>-84</v>
      </c>
      <c r="Q74" s="122"/>
      <c r="R74" s="122"/>
      <c r="S74" s="122"/>
      <c r="T74" s="122"/>
      <c r="U74" s="122"/>
      <c r="V74" s="122"/>
      <c r="W74" s="122"/>
      <c r="X74" s="122"/>
      <c r="Y74" s="122"/>
      <c r="Z74" s="122"/>
      <c r="AA74" s="352"/>
      <c r="AB74" s="79"/>
      <c r="AC74" s="79"/>
      <c r="AD74" s="79"/>
      <c r="AE74" s="241"/>
      <c r="AW74" s="179"/>
    </row>
    <row r="75" spans="1:49" s="3" customFormat="1" x14ac:dyDescent="0.2">
      <c r="A75" s="3" t="s">
        <v>120</v>
      </c>
      <c r="B75" s="3" t="s">
        <v>122</v>
      </c>
      <c r="I75" s="3">
        <f>amendment!D29</f>
        <v>-26</v>
      </c>
      <c r="J75" s="3">
        <f>amendment!E29</f>
        <v>-27</v>
      </c>
      <c r="K75" s="3">
        <f>amendment!F29</f>
        <v>-27</v>
      </c>
      <c r="L75" s="3">
        <f>amendment!G29</f>
        <v>-27</v>
      </c>
      <c r="M75" s="3">
        <f>amendment!H29</f>
        <v>-27</v>
      </c>
      <c r="N75" s="3">
        <f>amendment!I29</f>
        <v>-27</v>
      </c>
      <c r="O75" s="3">
        <f>amendment!J29</f>
        <v>-27</v>
      </c>
      <c r="P75" s="122">
        <f>amendment!K29</f>
        <v>-27</v>
      </c>
      <c r="Q75" s="122">
        <f>amendment!L29</f>
        <v>0</v>
      </c>
      <c r="R75" s="122">
        <f>amendment!M29</f>
        <v>0</v>
      </c>
      <c r="S75" s="122"/>
      <c r="T75" s="122"/>
      <c r="U75" s="122"/>
      <c r="V75" s="122"/>
      <c r="W75" s="122"/>
      <c r="X75" s="122"/>
      <c r="Y75" s="122"/>
      <c r="Z75" s="122"/>
      <c r="AA75" s="352"/>
      <c r="AB75" s="79"/>
      <c r="AC75" s="79"/>
      <c r="AD75" s="79"/>
      <c r="AE75" s="241"/>
      <c r="AW75" s="179"/>
    </row>
    <row r="76" spans="1:49" s="3" customFormat="1" x14ac:dyDescent="0.2">
      <c r="A76" s="3" t="s">
        <v>121</v>
      </c>
      <c r="B76" s="3" t="s">
        <v>122</v>
      </c>
      <c r="I76" s="3">
        <f>amendment!D30</f>
        <v>-130</v>
      </c>
      <c r="J76" s="3">
        <f>amendment!E30</f>
        <v>-130</v>
      </c>
      <c r="K76" s="3">
        <f>amendment!F30</f>
        <v>-130</v>
      </c>
      <c r="L76" s="3">
        <f>amendment!G30</f>
        <v>-130</v>
      </c>
      <c r="M76" s="3">
        <f>amendment!H30</f>
        <v>-130</v>
      </c>
      <c r="N76" s="3">
        <f>amendment!I30</f>
        <v>-130</v>
      </c>
      <c r="O76" s="3">
        <f>amendment!J30</f>
        <v>-130</v>
      </c>
      <c r="P76" s="122">
        <f>amendment!K30</f>
        <v>-130</v>
      </c>
      <c r="Q76" s="122">
        <f>amendment!L30</f>
        <v>-129</v>
      </c>
      <c r="R76" s="122">
        <f>amendment!M30</f>
        <v>-129</v>
      </c>
      <c r="S76" s="122"/>
      <c r="T76" s="122"/>
      <c r="U76" s="122"/>
      <c r="V76" s="122"/>
      <c r="W76" s="122"/>
      <c r="X76" s="122"/>
      <c r="Y76" s="122"/>
      <c r="Z76" s="122"/>
      <c r="AA76" s="352"/>
      <c r="AB76" s="79"/>
      <c r="AC76" s="79"/>
      <c r="AD76" s="79"/>
      <c r="AE76" s="241"/>
      <c r="AW76" s="179"/>
    </row>
    <row r="77" spans="1:49" s="3" customFormat="1" x14ac:dyDescent="0.2">
      <c r="A77" s="3" t="s">
        <v>132</v>
      </c>
      <c r="B77" s="3" t="s">
        <v>122</v>
      </c>
      <c r="M77" s="3">
        <f>amendment!H48</f>
        <v>-66</v>
      </c>
      <c r="N77" s="3">
        <f>amendment!I48</f>
        <v>-66</v>
      </c>
      <c r="O77" s="3">
        <f>amendment!J48</f>
        <v>-66</v>
      </c>
      <c r="P77" s="122">
        <f>amendment!K48</f>
        <v>-66</v>
      </c>
      <c r="Q77" s="122">
        <f>amendment!L48</f>
        <v>-67</v>
      </c>
      <c r="R77" s="122">
        <f>amendment!M48</f>
        <v>-66</v>
      </c>
      <c r="S77" s="122">
        <f>amendment!N48</f>
        <v>0</v>
      </c>
      <c r="T77" s="122">
        <f>amendment!O48</f>
        <v>0</v>
      </c>
      <c r="U77" s="122">
        <f>amendment!P48</f>
        <v>0</v>
      </c>
      <c r="V77" s="122"/>
      <c r="W77" s="122"/>
      <c r="X77" s="122"/>
      <c r="Y77" s="122"/>
      <c r="Z77" s="122"/>
      <c r="AA77" s="352"/>
      <c r="AB77" s="79"/>
      <c r="AC77" s="79"/>
      <c r="AD77" s="79"/>
      <c r="AE77" s="241"/>
      <c r="AW77" s="179"/>
    </row>
    <row r="78" spans="1:49" s="3" customFormat="1" x14ac:dyDescent="0.2">
      <c r="A78" s="3" t="s">
        <v>133</v>
      </c>
      <c r="B78" s="3" t="s">
        <v>122</v>
      </c>
      <c r="M78" s="3">
        <f>amendment!H49</f>
        <v>-145</v>
      </c>
      <c r="N78" s="3">
        <f>amendment!I49</f>
        <v>-145</v>
      </c>
      <c r="O78" s="3">
        <f>amendment!J49</f>
        <v>-146</v>
      </c>
      <c r="P78" s="122">
        <f>amendment!K49</f>
        <v>-146</v>
      </c>
      <c r="Q78" s="122">
        <f>amendment!L49</f>
        <v>-146</v>
      </c>
      <c r="R78" s="122">
        <f>amendment!M49</f>
        <v>-146</v>
      </c>
      <c r="S78" s="122">
        <f>amendment!N49</f>
        <v>-146</v>
      </c>
      <c r="T78" s="122">
        <f>amendment!O49</f>
        <v>-146</v>
      </c>
      <c r="U78" s="122">
        <f>amendment!P49</f>
        <v>0</v>
      </c>
      <c r="V78" s="122"/>
      <c r="W78" s="122"/>
      <c r="X78" s="122"/>
      <c r="Y78" s="122"/>
      <c r="Z78" s="122"/>
      <c r="AA78" s="352"/>
      <c r="AB78" s="79"/>
      <c r="AC78" s="79"/>
      <c r="AD78" s="79"/>
      <c r="AE78" s="241"/>
      <c r="AW78" s="179"/>
    </row>
    <row r="79" spans="1:49" s="3" customFormat="1" x14ac:dyDescent="0.2">
      <c r="A79" s="3" t="s">
        <v>134</v>
      </c>
      <c r="B79" s="3" t="s">
        <v>122</v>
      </c>
      <c r="M79" s="3">
        <f>amendment!H50</f>
        <v>-172</v>
      </c>
      <c r="N79" s="3">
        <f>amendment!I50</f>
        <v>-172</v>
      </c>
      <c r="O79" s="3">
        <f>amendment!J50</f>
        <v>-172</v>
      </c>
      <c r="P79" s="122">
        <f>amendment!K50</f>
        <v>-172</v>
      </c>
      <c r="Q79" s="122">
        <f>amendment!L50</f>
        <v>-172</v>
      </c>
      <c r="R79" s="122">
        <f>amendment!M50</f>
        <v>-172</v>
      </c>
      <c r="S79" s="122">
        <f>amendment!N50</f>
        <v>-172</v>
      </c>
      <c r="T79" s="122">
        <f>amendment!O50</f>
        <v>-171</v>
      </c>
      <c r="U79" s="122">
        <f>amendment!P50</f>
        <v>-171</v>
      </c>
      <c r="V79" s="122"/>
      <c r="W79" s="122"/>
      <c r="X79" s="122"/>
      <c r="Y79" s="122"/>
      <c r="Z79" s="122"/>
      <c r="AA79" s="352"/>
      <c r="AB79" s="79"/>
      <c r="AC79" s="79"/>
      <c r="AD79" s="79"/>
      <c r="AE79" s="241"/>
      <c r="AW79" s="179"/>
    </row>
    <row r="80" spans="1:49" s="3" customFormat="1" x14ac:dyDescent="0.2">
      <c r="A80" s="3" t="s">
        <v>135</v>
      </c>
      <c r="B80" s="3" t="s">
        <v>122</v>
      </c>
      <c r="M80" s="3">
        <f>amendment!H51</f>
        <v>-156</v>
      </c>
      <c r="N80" s="3">
        <f>amendment!I51</f>
        <v>-156</v>
      </c>
      <c r="O80" s="3">
        <f>amendment!J51</f>
        <v>-156</v>
      </c>
      <c r="P80" s="122">
        <f>amendment!K51</f>
        <v>-157</v>
      </c>
      <c r="Q80" s="122">
        <f>amendment!L51</f>
        <v>-157</v>
      </c>
      <c r="R80" s="122">
        <f>amendment!M51</f>
        <v>-157</v>
      </c>
      <c r="S80" s="122">
        <f>amendment!N51</f>
        <v>-157</v>
      </c>
      <c r="T80" s="122">
        <f>amendment!O51</f>
        <v>-157</v>
      </c>
      <c r="U80" s="122">
        <f>amendment!P51</f>
        <v>-157</v>
      </c>
      <c r="V80" s="122"/>
      <c r="W80" s="122"/>
      <c r="X80" s="122"/>
      <c r="Y80" s="122"/>
      <c r="Z80" s="122"/>
      <c r="AA80" s="352"/>
      <c r="AB80" s="79"/>
      <c r="AC80" s="79"/>
      <c r="AD80" s="79"/>
      <c r="AE80" s="241"/>
      <c r="AW80" s="179"/>
    </row>
    <row r="81" spans="1:49" s="3" customFormat="1" x14ac:dyDescent="0.2">
      <c r="C81" s="6"/>
      <c r="D81" s="6"/>
      <c r="E81" s="6"/>
      <c r="F81" s="6"/>
      <c r="G81" s="6"/>
      <c r="H81" s="6"/>
      <c r="I81" s="6"/>
      <c r="J81" s="6"/>
      <c r="K81" s="6"/>
      <c r="L81" s="6"/>
      <c r="M81" s="6"/>
      <c r="N81" s="6"/>
      <c r="O81" s="6"/>
      <c r="P81" s="126"/>
      <c r="Q81" s="126"/>
      <c r="R81" s="126"/>
      <c r="S81" s="126"/>
      <c r="T81" s="126"/>
      <c r="U81" s="126"/>
      <c r="V81" s="126"/>
      <c r="W81" s="126"/>
      <c r="X81" s="126"/>
      <c r="Y81" s="126"/>
      <c r="Z81" s="122"/>
      <c r="AA81" s="352"/>
      <c r="AB81" s="79"/>
      <c r="AC81" s="79"/>
      <c r="AD81" s="79"/>
      <c r="AE81" s="241"/>
      <c r="AW81" s="179"/>
    </row>
    <row r="82" spans="1:49" s="25" customFormat="1" x14ac:dyDescent="0.2">
      <c r="A82" s="25" t="s">
        <v>141</v>
      </c>
      <c r="B82" s="25" t="s">
        <v>31</v>
      </c>
      <c r="C82" s="26">
        <f t="shared" ref="C82:H82" si="59">SUM(C74:C81)</f>
        <v>0</v>
      </c>
      <c r="D82" s="26">
        <f t="shared" si="59"/>
        <v>0</v>
      </c>
      <c r="E82" s="26">
        <f t="shared" si="59"/>
        <v>0</v>
      </c>
      <c r="F82" s="26">
        <f t="shared" si="59"/>
        <v>0</v>
      </c>
      <c r="G82" s="26">
        <f t="shared" si="59"/>
        <v>0</v>
      </c>
      <c r="H82" s="26">
        <f t="shared" si="59"/>
        <v>-85</v>
      </c>
      <c r="I82" s="26">
        <f t="shared" ref="I82:AC82" si="60">SUM(I74:I81)</f>
        <v>-241</v>
      </c>
      <c r="J82" s="26">
        <f t="shared" si="60"/>
        <v>-241</v>
      </c>
      <c r="K82" s="26">
        <f t="shared" si="60"/>
        <v>-241</v>
      </c>
      <c r="L82" s="26">
        <f t="shared" si="60"/>
        <v>-241</v>
      </c>
      <c r="M82" s="26">
        <f t="shared" si="60"/>
        <v>-780</v>
      </c>
      <c r="N82" s="26">
        <f t="shared" si="60"/>
        <v>-780</v>
      </c>
      <c r="O82" s="26">
        <f t="shared" si="60"/>
        <v>-781</v>
      </c>
      <c r="P82" s="130">
        <f t="shared" si="60"/>
        <v>-782</v>
      </c>
      <c r="Q82" s="130">
        <f t="shared" si="60"/>
        <v>-671</v>
      </c>
      <c r="R82" s="130">
        <f t="shared" si="60"/>
        <v>-670</v>
      </c>
      <c r="S82" s="130">
        <f t="shared" si="60"/>
        <v>-475</v>
      </c>
      <c r="T82" s="130">
        <f t="shared" si="60"/>
        <v>-474</v>
      </c>
      <c r="U82" s="130">
        <f t="shared" si="60"/>
        <v>-328</v>
      </c>
      <c r="V82" s="130">
        <f t="shared" si="60"/>
        <v>0</v>
      </c>
      <c r="W82" s="130">
        <f t="shared" si="60"/>
        <v>0</v>
      </c>
      <c r="X82" s="130">
        <f t="shared" si="60"/>
        <v>0</v>
      </c>
      <c r="Y82" s="130">
        <f t="shared" si="60"/>
        <v>0</v>
      </c>
      <c r="Z82" s="130">
        <f t="shared" si="60"/>
        <v>0</v>
      </c>
      <c r="AA82" s="354">
        <f t="shared" si="60"/>
        <v>0</v>
      </c>
      <c r="AB82" s="83">
        <f t="shared" si="60"/>
        <v>0</v>
      </c>
      <c r="AC82" s="83">
        <f t="shared" si="60"/>
        <v>0</v>
      </c>
      <c r="AD82" s="83">
        <f t="shared" ref="AD82:AE82" si="61">SUM(AD74:AD81)</f>
        <v>0</v>
      </c>
      <c r="AE82" s="245">
        <f t="shared" si="61"/>
        <v>0</v>
      </c>
      <c r="AF82" s="39"/>
      <c r="AG82" s="39"/>
      <c r="AH82" s="39"/>
      <c r="AI82" s="39"/>
      <c r="AJ82" s="39"/>
      <c r="AK82" s="39"/>
      <c r="AL82" s="39"/>
      <c r="AM82" s="39"/>
      <c r="AW82" s="186"/>
    </row>
    <row r="84" spans="1:49" x14ac:dyDescent="0.2">
      <c r="A84" s="28" t="s">
        <v>142</v>
      </c>
    </row>
    <row r="85" spans="1:49" x14ac:dyDescent="0.2">
      <c r="A85" t="s">
        <v>143</v>
      </c>
      <c r="B85" t="s">
        <v>66</v>
      </c>
      <c r="C85" s="22">
        <f>+C69</f>
        <v>111</v>
      </c>
      <c r="D85" s="22">
        <f t="shared" ref="D85:Y85" si="62">+D69</f>
        <v>61</v>
      </c>
      <c r="E85" s="22">
        <f t="shared" si="62"/>
        <v>257</v>
      </c>
      <c r="F85" s="22">
        <f t="shared" si="62"/>
        <v>148</v>
      </c>
      <c r="G85" s="22">
        <f t="shared" si="62"/>
        <v>293</v>
      </c>
      <c r="H85" s="22">
        <f t="shared" si="62"/>
        <v>465</v>
      </c>
      <c r="I85" s="22">
        <f t="shared" si="62"/>
        <v>680</v>
      </c>
      <c r="J85" s="22">
        <f t="shared" si="62"/>
        <v>892</v>
      </c>
      <c r="K85" s="22">
        <f t="shared" si="62"/>
        <v>1211</v>
      </c>
      <c r="L85" s="22">
        <f t="shared" si="62"/>
        <v>1376</v>
      </c>
      <c r="M85" s="22">
        <f t="shared" si="62"/>
        <v>1250</v>
      </c>
      <c r="N85" s="22">
        <f t="shared" si="62"/>
        <v>1273</v>
      </c>
      <c r="O85" s="22">
        <f t="shared" si="62"/>
        <v>1225</v>
      </c>
      <c r="P85" s="107">
        <f t="shared" si="62"/>
        <v>1248</v>
      </c>
      <c r="Q85" s="107">
        <f t="shared" si="62"/>
        <v>1138</v>
      </c>
      <c r="R85" s="107">
        <f t="shared" si="62"/>
        <v>1140</v>
      </c>
      <c r="S85" s="107">
        <f t="shared" si="62"/>
        <v>1185</v>
      </c>
      <c r="T85" s="107">
        <f>+T69</f>
        <v>1587</v>
      </c>
      <c r="U85" s="107">
        <f t="shared" si="62"/>
        <v>1244</v>
      </c>
      <c r="V85" s="107">
        <f t="shared" si="62"/>
        <v>587</v>
      </c>
      <c r="W85" s="107">
        <f>+W69</f>
        <v>490</v>
      </c>
      <c r="X85" s="107">
        <f t="shared" si="62"/>
        <v>181</v>
      </c>
      <c r="Y85" s="107">
        <f t="shared" si="62"/>
        <v>-70</v>
      </c>
      <c r="Z85" s="107">
        <f t="shared" ref="Z85:AE85" si="63">+Z69</f>
        <v>312</v>
      </c>
      <c r="AA85" s="356">
        <f t="shared" si="63"/>
        <v>723</v>
      </c>
      <c r="AB85" s="85">
        <f t="shared" si="63"/>
        <v>1363</v>
      </c>
      <c r="AC85" s="85">
        <f t="shared" si="63"/>
        <v>1759</v>
      </c>
      <c r="AD85" s="85">
        <f t="shared" si="63"/>
        <v>2071</v>
      </c>
      <c r="AE85" s="247">
        <f t="shared" si="63"/>
        <v>2353</v>
      </c>
      <c r="AF85" s="22"/>
      <c r="AG85" s="22"/>
      <c r="AH85" s="22"/>
      <c r="AI85" s="22"/>
      <c r="AJ85" s="22"/>
      <c r="AK85" s="22"/>
      <c r="AL85" s="22"/>
      <c r="AM85" s="22"/>
    </row>
    <row r="86" spans="1:49" x14ac:dyDescent="0.2">
      <c r="A86" t="s">
        <v>144</v>
      </c>
      <c r="B86" t="s">
        <v>66</v>
      </c>
      <c r="C86" s="38">
        <f>+C82</f>
        <v>0</v>
      </c>
      <c r="D86" s="38">
        <f t="shared" ref="D86:Y86" si="64">+D82</f>
        <v>0</v>
      </c>
      <c r="E86" s="38">
        <f t="shared" si="64"/>
        <v>0</v>
      </c>
      <c r="F86" s="38">
        <f t="shared" si="64"/>
        <v>0</v>
      </c>
      <c r="G86" s="38">
        <f t="shared" si="64"/>
        <v>0</v>
      </c>
      <c r="H86" s="38">
        <f t="shared" si="64"/>
        <v>-85</v>
      </c>
      <c r="I86" s="38">
        <f t="shared" si="64"/>
        <v>-241</v>
      </c>
      <c r="J86" s="38">
        <f t="shared" si="64"/>
        <v>-241</v>
      </c>
      <c r="K86" s="38">
        <f t="shared" si="64"/>
        <v>-241</v>
      </c>
      <c r="L86" s="38">
        <f t="shared" si="64"/>
        <v>-241</v>
      </c>
      <c r="M86" s="38">
        <f t="shared" si="64"/>
        <v>-780</v>
      </c>
      <c r="N86" s="38">
        <f t="shared" si="64"/>
        <v>-780</v>
      </c>
      <c r="O86" s="38">
        <f t="shared" si="64"/>
        <v>-781</v>
      </c>
      <c r="P86" s="138">
        <f t="shared" si="64"/>
        <v>-782</v>
      </c>
      <c r="Q86" s="138">
        <f t="shared" si="64"/>
        <v>-671</v>
      </c>
      <c r="R86" s="138">
        <f t="shared" si="64"/>
        <v>-670</v>
      </c>
      <c r="S86" s="138">
        <f t="shared" si="64"/>
        <v>-475</v>
      </c>
      <c r="T86" s="138">
        <f t="shared" si="64"/>
        <v>-474</v>
      </c>
      <c r="U86" s="138">
        <f t="shared" si="64"/>
        <v>-328</v>
      </c>
      <c r="V86" s="138">
        <f t="shared" si="64"/>
        <v>0</v>
      </c>
      <c r="W86" s="138">
        <f t="shared" si="64"/>
        <v>0</v>
      </c>
      <c r="X86" s="138">
        <f t="shared" si="64"/>
        <v>0</v>
      </c>
      <c r="Y86" s="138">
        <f t="shared" si="64"/>
        <v>0</v>
      </c>
      <c r="Z86" s="138">
        <f t="shared" ref="Z86:AE86" si="65">+Z82</f>
        <v>0</v>
      </c>
      <c r="AA86" s="363">
        <f t="shared" si="65"/>
        <v>0</v>
      </c>
      <c r="AB86" s="92">
        <f t="shared" si="65"/>
        <v>0</v>
      </c>
      <c r="AC86" s="92">
        <f t="shared" si="65"/>
        <v>0</v>
      </c>
      <c r="AD86" s="92">
        <f t="shared" si="65"/>
        <v>0</v>
      </c>
      <c r="AE86" s="255">
        <f t="shared" si="65"/>
        <v>0</v>
      </c>
      <c r="AF86" s="74"/>
      <c r="AG86" s="74"/>
      <c r="AH86" s="74"/>
      <c r="AI86" s="74"/>
      <c r="AJ86" s="74"/>
      <c r="AK86" s="74"/>
      <c r="AL86" s="74"/>
      <c r="AM86" s="74"/>
    </row>
    <row r="87" spans="1:49" s="18" customFormat="1" ht="16.5" thickBot="1" x14ac:dyDescent="0.3">
      <c r="A87" s="18" t="s">
        <v>136</v>
      </c>
      <c r="C87" s="27">
        <f>SUM(C85:C86)</f>
        <v>111</v>
      </c>
      <c r="D87" s="27">
        <f t="shared" ref="D87:AC87" si="66">SUM(D85:D86)</f>
        <v>61</v>
      </c>
      <c r="E87" s="27">
        <f t="shared" si="66"/>
        <v>257</v>
      </c>
      <c r="F87" s="27">
        <f t="shared" si="66"/>
        <v>148</v>
      </c>
      <c r="G87" s="27">
        <f t="shared" si="66"/>
        <v>293</v>
      </c>
      <c r="H87" s="27">
        <f t="shared" si="66"/>
        <v>380</v>
      </c>
      <c r="I87" s="27">
        <f t="shared" si="66"/>
        <v>439</v>
      </c>
      <c r="J87" s="27">
        <f t="shared" si="66"/>
        <v>651</v>
      </c>
      <c r="K87" s="27">
        <f t="shared" si="66"/>
        <v>970</v>
      </c>
      <c r="L87" s="27">
        <f t="shared" si="66"/>
        <v>1135</v>
      </c>
      <c r="M87" s="27">
        <f t="shared" si="66"/>
        <v>470</v>
      </c>
      <c r="N87" s="27">
        <f t="shared" si="66"/>
        <v>493</v>
      </c>
      <c r="O87" s="27">
        <f t="shared" si="66"/>
        <v>444</v>
      </c>
      <c r="P87" s="139">
        <f t="shared" si="66"/>
        <v>466</v>
      </c>
      <c r="Q87" s="139">
        <f t="shared" si="66"/>
        <v>467</v>
      </c>
      <c r="R87" s="139">
        <f t="shared" si="66"/>
        <v>470</v>
      </c>
      <c r="S87" s="139">
        <f t="shared" si="66"/>
        <v>710</v>
      </c>
      <c r="T87" s="139">
        <f>SUM(T85:T86)</f>
        <v>1113</v>
      </c>
      <c r="U87" s="139">
        <f t="shared" si="66"/>
        <v>916</v>
      </c>
      <c r="V87" s="139">
        <f t="shared" si="66"/>
        <v>587</v>
      </c>
      <c r="W87" s="139">
        <f t="shared" si="66"/>
        <v>490</v>
      </c>
      <c r="X87" s="139">
        <f t="shared" si="66"/>
        <v>181</v>
      </c>
      <c r="Y87" s="139">
        <f t="shared" si="66"/>
        <v>-70</v>
      </c>
      <c r="Z87" s="139">
        <f t="shared" si="66"/>
        <v>312</v>
      </c>
      <c r="AA87" s="364">
        <f t="shared" si="66"/>
        <v>723</v>
      </c>
      <c r="AB87" s="93">
        <f t="shared" si="66"/>
        <v>1363</v>
      </c>
      <c r="AC87" s="93">
        <f t="shared" si="66"/>
        <v>1759</v>
      </c>
      <c r="AD87" s="93">
        <f t="shared" ref="AD87:AE87" si="67">SUM(AD85:AD86)</f>
        <v>2071</v>
      </c>
      <c r="AE87" s="256">
        <f t="shared" si="67"/>
        <v>2353</v>
      </c>
      <c r="AF87" s="75"/>
      <c r="AG87" s="75"/>
      <c r="AH87" s="75"/>
      <c r="AI87" s="75"/>
      <c r="AJ87" s="75"/>
      <c r="AK87" s="75"/>
      <c r="AL87" s="75"/>
      <c r="AM87" s="75"/>
      <c r="AW87" s="178"/>
    </row>
    <row r="88" spans="1:49" ht="13.5" thickTop="1" x14ac:dyDescent="0.2"/>
    <row r="90" spans="1:49" x14ac:dyDescent="0.2">
      <c r="A90" s="28" t="s">
        <v>145</v>
      </c>
    </row>
    <row r="91" spans="1:49" x14ac:dyDescent="0.2">
      <c r="A91" t="s">
        <v>147</v>
      </c>
      <c r="C91" s="22">
        <f t="shared" ref="C91:M91" si="68">+C37</f>
        <v>1554.4300000000003</v>
      </c>
      <c r="D91" s="22">
        <f t="shared" si="68"/>
        <v>858.42250000000058</v>
      </c>
      <c r="E91" s="22">
        <f t="shared" si="68"/>
        <v>3601.5162499999969</v>
      </c>
      <c r="F91" s="22">
        <f t="shared" si="68"/>
        <v>2070.3037499999955</v>
      </c>
      <c r="G91" s="22">
        <f t="shared" si="68"/>
        <v>4106.6912499999999</v>
      </c>
      <c r="H91" s="22">
        <f t="shared" si="68"/>
        <v>6512.3662500000028</v>
      </c>
      <c r="I91" s="22">
        <f t="shared" si="68"/>
        <v>9312.8549999999996</v>
      </c>
      <c r="J91" s="22">
        <f t="shared" si="68"/>
        <v>12065.997500000001</v>
      </c>
      <c r="K91" s="22">
        <f t="shared" si="68"/>
        <v>16532.279999999995</v>
      </c>
      <c r="L91" s="22">
        <f t="shared" si="68"/>
        <v>18847.434999999994</v>
      </c>
      <c r="M91" s="22">
        <f t="shared" si="68"/>
        <v>17208.714999999993</v>
      </c>
      <c r="N91" s="22">
        <f t="shared" ref="N91:S91" si="69">+N37</f>
        <v>17489.434999999994</v>
      </c>
      <c r="O91" s="22">
        <f t="shared" si="69"/>
        <v>16866.274999999991</v>
      </c>
      <c r="P91" s="107">
        <f t="shared" si="69"/>
        <v>17163.049999999985</v>
      </c>
      <c r="Q91" s="107">
        <f t="shared" si="69"/>
        <v>16560.599999999988</v>
      </c>
      <c r="R91" s="107">
        <f t="shared" si="69"/>
        <v>19820.149999999991</v>
      </c>
      <c r="S91" s="107">
        <f t="shared" si="69"/>
        <v>23875.801249999986</v>
      </c>
      <c r="T91" s="107">
        <f t="shared" ref="T91:Y91" si="70">+T37</f>
        <v>21102.976249999989</v>
      </c>
      <c r="U91" s="107">
        <f t="shared" si="70"/>
        <v>17337.679999999989</v>
      </c>
      <c r="V91" s="107">
        <f>+V37</f>
        <v>18915.935353428558</v>
      </c>
      <c r="W91" s="107">
        <f>+W37</f>
        <v>14565.11210442855</v>
      </c>
      <c r="X91" s="107">
        <f t="shared" si="70"/>
        <v>15568.941333450868</v>
      </c>
      <c r="Y91" s="107">
        <f t="shared" si="70"/>
        <v>21674.312070450858</v>
      </c>
      <c r="Z91" s="107">
        <f t="shared" ref="Z91:AE91" si="71">+Z37</f>
        <v>27915.146620450872</v>
      </c>
      <c r="AA91" s="356">
        <f t="shared" si="71"/>
        <v>36989.558623450896</v>
      </c>
      <c r="AB91" s="85">
        <f t="shared" si="71"/>
        <v>43389.548907988137</v>
      </c>
      <c r="AC91" s="85">
        <f t="shared" si="71"/>
        <v>48159.044516604292</v>
      </c>
      <c r="AD91" s="85">
        <f t="shared" si="71"/>
        <v>51751.006768374515</v>
      </c>
      <c r="AE91" s="247">
        <f t="shared" si="71"/>
        <v>53876.743050398989</v>
      </c>
    </row>
    <row r="92" spans="1:49" x14ac:dyDescent="0.2">
      <c r="A92" t="s">
        <v>149</v>
      </c>
      <c r="C92" s="22">
        <f>-SUM($C$69:C69)</f>
        <v>-111</v>
      </c>
      <c r="D92" s="22">
        <f>-SUM($C$69:D69)</f>
        <v>-172</v>
      </c>
      <c r="E92" s="22">
        <f>-SUM($C$69:E69)</f>
        <v>-429</v>
      </c>
      <c r="F92" s="22">
        <f>-SUM($C$69:F69)</f>
        <v>-577</v>
      </c>
      <c r="G92" s="22">
        <f>-SUM($C$69:G69)</f>
        <v>-870</v>
      </c>
      <c r="H92" s="22">
        <f>-SUM($C$69:H69)</f>
        <v>-1335</v>
      </c>
      <c r="I92" s="22">
        <f>-SUM($C$69:I69)</f>
        <v>-2015</v>
      </c>
      <c r="J92" s="22">
        <f>-SUM($C$69:J69)</f>
        <v>-2907</v>
      </c>
      <c r="K92" s="22">
        <f>-SUM($C$69:K69)</f>
        <v>-4118</v>
      </c>
      <c r="L92" s="22">
        <f>-SUM($C$69:L69)</f>
        <v>-5494</v>
      </c>
      <c r="M92" s="22">
        <f>-SUM($C$69:M69)-1</f>
        <v>-6745</v>
      </c>
      <c r="N92" s="22">
        <f>-SUM($C$69:N69)</f>
        <v>-8017</v>
      </c>
      <c r="O92" s="22">
        <f>-SUM($C$69:O69)</f>
        <v>-9242</v>
      </c>
      <c r="P92" s="107">
        <f>-SUM($C$69:P69)</f>
        <v>-10490</v>
      </c>
      <c r="Q92" s="107">
        <f>-SUM($C$69:Q69)</f>
        <v>-11628</v>
      </c>
      <c r="R92" s="107">
        <f>-SUM($C$69:R69)</f>
        <v>-12768</v>
      </c>
      <c r="S92" s="107">
        <f>-SUM($C$69:S69)</f>
        <v>-13953</v>
      </c>
      <c r="T92" s="107">
        <f>-SUM($C$69:T69)</f>
        <v>-15540</v>
      </c>
      <c r="U92" s="107">
        <f>-SUM($C$69:U69)</f>
        <v>-16784</v>
      </c>
      <c r="V92" s="107">
        <f>-SUM($C$69:V69)</f>
        <v>-17371</v>
      </c>
      <c r="W92" s="107">
        <f>-SUM($C$69:W69)</f>
        <v>-17861</v>
      </c>
      <c r="X92" s="107">
        <f>-SUM($C$69:X69)</f>
        <v>-18042</v>
      </c>
      <c r="Y92" s="107">
        <f>-SUM($C$69:Y69)</f>
        <v>-17972</v>
      </c>
      <c r="Z92" s="107">
        <f>-SUM($C$69:Z69)</f>
        <v>-18284</v>
      </c>
      <c r="AA92" s="356">
        <f>-SUM($C$69:AA69)</f>
        <v>-19007</v>
      </c>
      <c r="AB92" s="85">
        <f>-SUM($C$69:AB69)</f>
        <v>-20370</v>
      </c>
      <c r="AC92" s="85">
        <f>-SUM($C$69:AC69)</f>
        <v>-22129</v>
      </c>
      <c r="AD92" s="85">
        <f>-SUM($C$69:AD69)</f>
        <v>-24200</v>
      </c>
      <c r="AE92" s="247">
        <f>-SUM($C$69:AE69)</f>
        <v>-26553</v>
      </c>
    </row>
    <row r="93" spans="1:49" x14ac:dyDescent="0.2">
      <c r="A93" t="s">
        <v>150</v>
      </c>
      <c r="C93" s="22">
        <f>-SUM($C$71:C71)</f>
        <v>0</v>
      </c>
      <c r="D93" s="22">
        <f>-SUM($C$71:D71)</f>
        <v>0</v>
      </c>
      <c r="E93" s="22">
        <f>-SUM($C$71:E71)</f>
        <v>0</v>
      </c>
      <c r="F93" s="22">
        <f>-SUM($C$71:F71)</f>
        <v>0</v>
      </c>
      <c r="G93" s="22">
        <f>-SUM($C$71:G71)</f>
        <v>0</v>
      </c>
      <c r="H93" s="22">
        <f>-SUM($C$71:H71)</f>
        <v>-758</v>
      </c>
      <c r="I93" s="22">
        <f>-SUM($C$71:I71)</f>
        <v>-2271</v>
      </c>
      <c r="J93" s="22">
        <f>-SUM($C$71:J71)</f>
        <v>-2271</v>
      </c>
      <c r="K93" s="22">
        <f>-SUM($C$71:K71)</f>
        <v>-2271</v>
      </c>
      <c r="L93" s="22">
        <f>-SUM($C$71:L71)</f>
        <v>-2271</v>
      </c>
      <c r="M93" s="22">
        <f>-SUM($C$71:M71)</f>
        <v>-6790</v>
      </c>
      <c r="N93" s="22">
        <f>-SUM($C$71:N71)</f>
        <v>-6790</v>
      </c>
      <c r="O93" s="22">
        <f>-SUM($C$71:O71)</f>
        <v>-6790</v>
      </c>
      <c r="P93" s="107">
        <f>-SUM($C$71:P71)</f>
        <v>-6790</v>
      </c>
      <c r="Q93" s="107">
        <f>-SUM($C$71:Q71)</f>
        <v>-6790</v>
      </c>
      <c r="R93" s="107">
        <f>-SUM($C$71:R71)</f>
        <v>-6790</v>
      </c>
      <c r="S93" s="107">
        <f>-SUM($C$71:S71)</f>
        <v>-6790</v>
      </c>
      <c r="T93" s="107">
        <f>-SUM($C$71:T71)</f>
        <v>-6790</v>
      </c>
      <c r="U93" s="107">
        <f>-SUM($C$71:U71)</f>
        <v>-6790</v>
      </c>
      <c r="V93" s="107">
        <f>-SUM($C$71:V71)</f>
        <v>-6790</v>
      </c>
      <c r="W93" s="107">
        <f>-SUM($C$71:W71)</f>
        <v>-6790</v>
      </c>
      <c r="X93" s="107">
        <f>-SUM($C$71:X71)</f>
        <v>-6790</v>
      </c>
      <c r="Y93" s="107">
        <f>-SUM($C$71:Y71)</f>
        <v>-6790</v>
      </c>
      <c r="Z93" s="107">
        <f>-SUM($C$71:Z71)</f>
        <v>-6790</v>
      </c>
      <c r="AA93" s="356">
        <f>-SUM($C$71:AA71)</f>
        <v>-6790</v>
      </c>
      <c r="AB93" s="85">
        <f>-SUM($C$71:AB71)</f>
        <v>-6790</v>
      </c>
      <c r="AC93" s="85">
        <f>-SUM($C$71:AC71)</f>
        <v>-6790</v>
      </c>
      <c r="AD93" s="85">
        <f>-SUM($C$71:AD71)</f>
        <v>-6790</v>
      </c>
      <c r="AE93" s="247">
        <f>-SUM($C$71:AE71)</f>
        <v>-6790</v>
      </c>
    </row>
    <row r="94" spans="1:49" x14ac:dyDescent="0.2">
      <c r="A94" t="s">
        <v>151</v>
      </c>
      <c r="C94" s="38">
        <f>-C71</f>
        <v>0</v>
      </c>
      <c r="D94" s="38">
        <f>-SUM($C$82:D82)</f>
        <v>0</v>
      </c>
      <c r="E94" s="38">
        <f>-SUM($C$82:E82)</f>
        <v>0</v>
      </c>
      <c r="F94" s="38">
        <f>-SUM($C$82:F82)</f>
        <v>0</v>
      </c>
      <c r="G94" s="38">
        <f>-SUM($C$82:G82)</f>
        <v>0</v>
      </c>
      <c r="H94" s="38">
        <f>-SUM($C$82:H82)</f>
        <v>85</v>
      </c>
      <c r="I94" s="38">
        <f>-SUM($C$82:I82)</f>
        <v>326</v>
      </c>
      <c r="J94" s="38">
        <f>-SUM($C$82:J82)</f>
        <v>567</v>
      </c>
      <c r="K94" s="38">
        <f>-SUM($C$82:K82)</f>
        <v>808</v>
      </c>
      <c r="L94" s="38">
        <f>-SUM($C$82:L82)</f>
        <v>1049</v>
      </c>
      <c r="M94" s="38">
        <f>-SUM($C$82:M82)</f>
        <v>1829</v>
      </c>
      <c r="N94" s="38">
        <f>-SUM($C$82:N82)</f>
        <v>2609</v>
      </c>
      <c r="O94" s="38">
        <f>-SUM($C$82:O82)</f>
        <v>3390</v>
      </c>
      <c r="P94" s="138">
        <f>-SUM($C$82:P82)</f>
        <v>4172</v>
      </c>
      <c r="Q94" s="138">
        <f>-SUM($C$82:Q82)</f>
        <v>4843</v>
      </c>
      <c r="R94" s="138">
        <f>-SUM($C$82:R82)</f>
        <v>5513</v>
      </c>
      <c r="S94" s="138">
        <f>-SUM($C$82:S82)</f>
        <v>5988</v>
      </c>
      <c r="T94" s="138">
        <f>-SUM($C$82:T82)</f>
        <v>6462</v>
      </c>
      <c r="U94" s="138">
        <f>-SUM($C$82:U82)</f>
        <v>6790</v>
      </c>
      <c r="V94" s="138">
        <f>-SUM($C$82:V82)</f>
        <v>6790</v>
      </c>
      <c r="W94" s="138">
        <f>-SUM($C$82:W82)</f>
        <v>6790</v>
      </c>
      <c r="X94" s="138">
        <f>-SUM($C$82:X82)</f>
        <v>6790</v>
      </c>
      <c r="Y94" s="138">
        <f>-SUM($C$82:Y82)</f>
        <v>6790</v>
      </c>
      <c r="Z94" s="138">
        <f>-SUM($C$82:Z82)</f>
        <v>6790</v>
      </c>
      <c r="AA94" s="363">
        <f>-SUM($C$82:AA82)</f>
        <v>6790</v>
      </c>
      <c r="AB94" s="92">
        <f>-SUM($C$82:AB82)</f>
        <v>6790</v>
      </c>
      <c r="AC94" s="92">
        <f>-SUM($C$82:AC82)</f>
        <v>6790</v>
      </c>
      <c r="AD94" s="92">
        <f>-SUM($C$82:AD82)</f>
        <v>6790</v>
      </c>
      <c r="AE94" s="255">
        <f>-SUM($C$82:AE82)</f>
        <v>6790</v>
      </c>
    </row>
    <row r="95" spans="1:49" s="18" customFormat="1" ht="16.5" thickBot="1" x14ac:dyDescent="0.3">
      <c r="A95" s="18" t="s">
        <v>148</v>
      </c>
      <c r="C95" s="27">
        <f t="shared" ref="C95:P95" si="72">SUM(C91:C94)</f>
        <v>1443.4300000000003</v>
      </c>
      <c r="D95" s="27">
        <f t="shared" si="72"/>
        <v>686.42250000000058</v>
      </c>
      <c r="E95" s="27">
        <f t="shared" si="72"/>
        <v>3172.5162499999969</v>
      </c>
      <c r="F95" s="27">
        <f t="shared" si="72"/>
        <v>1493.3037499999955</v>
      </c>
      <c r="G95" s="27">
        <f t="shared" si="72"/>
        <v>3236.6912499999999</v>
      </c>
      <c r="H95" s="27">
        <f t="shared" si="72"/>
        <v>4504.3662500000028</v>
      </c>
      <c r="I95" s="27">
        <f t="shared" si="72"/>
        <v>5352.8549999999996</v>
      </c>
      <c r="J95" s="27">
        <f t="shared" si="72"/>
        <v>7454.9975000000013</v>
      </c>
      <c r="K95" s="27">
        <f t="shared" si="72"/>
        <v>10951.279999999995</v>
      </c>
      <c r="L95" s="27">
        <f t="shared" si="72"/>
        <v>12131.434999999994</v>
      </c>
      <c r="M95" s="27">
        <f t="shared" si="72"/>
        <v>5502.7149999999929</v>
      </c>
      <c r="N95" s="27">
        <f t="shared" si="72"/>
        <v>5291.434999999994</v>
      </c>
      <c r="O95" s="27">
        <f t="shared" si="72"/>
        <v>4224.2749999999905</v>
      </c>
      <c r="P95" s="139">
        <f t="shared" si="72"/>
        <v>4055.0499999999847</v>
      </c>
      <c r="Q95" s="139">
        <f t="shared" ref="Q95:AC95" si="73">SUM(Q91:Q94)</f>
        <v>2985.5999999999876</v>
      </c>
      <c r="R95" s="139">
        <f t="shared" si="73"/>
        <v>5775.1499999999905</v>
      </c>
      <c r="S95" s="139">
        <f t="shared" si="73"/>
        <v>9120.8012499999859</v>
      </c>
      <c r="T95" s="139">
        <f t="shared" si="73"/>
        <v>5234.9762499999888</v>
      </c>
      <c r="U95" s="139">
        <f t="shared" si="73"/>
        <v>553.67999999998938</v>
      </c>
      <c r="V95" s="139">
        <f t="shared" si="73"/>
        <v>1544.9353534285583</v>
      </c>
      <c r="W95" s="139">
        <f t="shared" si="73"/>
        <v>-3295.8878955714499</v>
      </c>
      <c r="X95" s="139">
        <f t="shared" si="73"/>
        <v>-2473.0586665491319</v>
      </c>
      <c r="Y95" s="139">
        <f t="shared" si="73"/>
        <v>3702.3120704508583</v>
      </c>
      <c r="Z95" s="139">
        <f t="shared" si="73"/>
        <v>9631.1466204508724</v>
      </c>
      <c r="AA95" s="364">
        <f t="shared" si="73"/>
        <v>17982.558623450896</v>
      </c>
      <c r="AB95" s="93">
        <f t="shared" si="73"/>
        <v>23019.548907988137</v>
      </c>
      <c r="AC95" s="93">
        <f t="shared" si="73"/>
        <v>26030.044516604292</v>
      </c>
      <c r="AD95" s="93">
        <f t="shared" ref="AD95:AE95" si="74">SUM(AD91:AD94)</f>
        <v>27551.006768374515</v>
      </c>
      <c r="AE95" s="256">
        <f t="shared" si="74"/>
        <v>27323.743050398989</v>
      </c>
      <c r="AW95" s="178"/>
    </row>
    <row r="96" spans="1:49" ht="13.5" thickTop="1" x14ac:dyDescent="0.2"/>
    <row r="97" spans="1:31" x14ac:dyDescent="0.2">
      <c r="A97" s="2" t="s">
        <v>298</v>
      </c>
    </row>
    <row r="98" spans="1:31" x14ac:dyDescent="0.2">
      <c r="A98" t="s">
        <v>299</v>
      </c>
      <c r="C98" s="22"/>
      <c r="D98" s="22">
        <f>C102</f>
        <v>1443.4300000000003</v>
      </c>
      <c r="E98" s="22">
        <f t="shared" ref="E98:M98" si="75">D102</f>
        <v>686.42250000000058</v>
      </c>
      <c r="F98" s="22">
        <f t="shared" si="75"/>
        <v>3172.5162499999969</v>
      </c>
      <c r="G98" s="22">
        <f t="shared" si="75"/>
        <v>1493.3037499999955</v>
      </c>
      <c r="H98" s="22">
        <f t="shared" si="75"/>
        <v>3236.6912499999999</v>
      </c>
      <c r="I98" s="22">
        <f t="shared" si="75"/>
        <v>4504.3662500000028</v>
      </c>
      <c r="J98" s="22">
        <f t="shared" si="75"/>
        <v>5352.8549999999996</v>
      </c>
      <c r="K98" s="22">
        <f t="shared" si="75"/>
        <v>7454.9975000000013</v>
      </c>
      <c r="L98" s="22">
        <f t="shared" si="75"/>
        <v>10951.279999999995</v>
      </c>
      <c r="M98" s="22">
        <f t="shared" si="75"/>
        <v>12131.434999999994</v>
      </c>
      <c r="N98" s="22">
        <f t="shared" ref="N98:AE98" si="76">M102</f>
        <v>5503.7149999999929</v>
      </c>
      <c r="O98" s="22">
        <f t="shared" si="76"/>
        <v>5291.434999999994</v>
      </c>
      <c r="P98" s="107">
        <f t="shared" si="76"/>
        <v>4224.2749999999905</v>
      </c>
      <c r="Q98" s="107">
        <f t="shared" si="76"/>
        <v>4055.0499999999847</v>
      </c>
      <c r="R98" s="107">
        <f t="shared" si="76"/>
        <v>2985.5999999999876</v>
      </c>
      <c r="S98" s="107">
        <f t="shared" si="76"/>
        <v>5775.1499999999905</v>
      </c>
      <c r="T98" s="107">
        <f>S102</f>
        <v>9120.8012499999859</v>
      </c>
      <c r="U98" s="107">
        <f t="shared" si="76"/>
        <v>5234.9762499999888</v>
      </c>
      <c r="V98" s="107">
        <f t="shared" si="76"/>
        <v>553.67999999998938</v>
      </c>
      <c r="W98" s="107">
        <f t="shared" si="76"/>
        <v>1544.9353534285583</v>
      </c>
      <c r="X98" s="107">
        <f t="shared" si="76"/>
        <v>-3295.8878955714499</v>
      </c>
      <c r="Y98" s="107">
        <f t="shared" si="76"/>
        <v>-2473.0586665491319</v>
      </c>
      <c r="Z98" s="107">
        <f t="shared" si="76"/>
        <v>3702.3120704508583</v>
      </c>
      <c r="AA98" s="356">
        <f t="shared" si="76"/>
        <v>9631.1466204508724</v>
      </c>
      <c r="AB98" s="85">
        <f t="shared" si="76"/>
        <v>17982.558623450892</v>
      </c>
      <c r="AC98" s="85">
        <f t="shared" si="76"/>
        <v>23019.548907988134</v>
      </c>
      <c r="AD98" s="85">
        <f t="shared" si="76"/>
        <v>26030.044516604288</v>
      </c>
      <c r="AE98" s="247">
        <f t="shared" si="76"/>
        <v>27551.006768374511</v>
      </c>
    </row>
    <row r="99" spans="1:31" x14ac:dyDescent="0.2">
      <c r="A99" t="s">
        <v>300</v>
      </c>
      <c r="C99" s="22">
        <f>-C87</f>
        <v>-111</v>
      </c>
      <c r="D99" s="22">
        <f>-D87</f>
        <v>-61</v>
      </c>
      <c r="E99" s="22">
        <f t="shared" ref="E99:N99" si="77">-E87</f>
        <v>-257</v>
      </c>
      <c r="F99" s="22">
        <f t="shared" si="77"/>
        <v>-148</v>
      </c>
      <c r="G99" s="22">
        <f t="shared" si="77"/>
        <v>-293</v>
      </c>
      <c r="H99" s="22">
        <f t="shared" si="77"/>
        <v>-380</v>
      </c>
      <c r="I99" s="22">
        <f t="shared" si="77"/>
        <v>-439</v>
      </c>
      <c r="J99" s="22">
        <f t="shared" si="77"/>
        <v>-651</v>
      </c>
      <c r="K99" s="22">
        <f t="shared" si="77"/>
        <v>-970</v>
      </c>
      <c r="L99" s="22">
        <f t="shared" si="77"/>
        <v>-1135</v>
      </c>
      <c r="M99" s="22">
        <f t="shared" si="77"/>
        <v>-470</v>
      </c>
      <c r="N99" s="22">
        <f t="shared" si="77"/>
        <v>-493</v>
      </c>
      <c r="O99" s="22">
        <f>-O87</f>
        <v>-444</v>
      </c>
      <c r="P99" s="107">
        <f>-P87</f>
        <v>-466</v>
      </c>
      <c r="Q99" s="107">
        <f>-Q87</f>
        <v>-467</v>
      </c>
      <c r="R99" s="107">
        <f>-R87</f>
        <v>-470</v>
      </c>
      <c r="S99" s="107">
        <f>-S87</f>
        <v>-710</v>
      </c>
      <c r="T99" s="107">
        <f t="shared" ref="T99:Y99" si="78">-T87</f>
        <v>-1113</v>
      </c>
      <c r="U99" s="107">
        <f t="shared" si="78"/>
        <v>-916</v>
      </c>
      <c r="V99" s="107">
        <f t="shared" si="78"/>
        <v>-587</v>
      </c>
      <c r="W99" s="107">
        <f t="shared" si="78"/>
        <v>-490</v>
      </c>
      <c r="X99" s="107">
        <f t="shared" si="78"/>
        <v>-181</v>
      </c>
      <c r="Y99" s="107">
        <f t="shared" si="78"/>
        <v>70</v>
      </c>
      <c r="Z99" s="107">
        <f t="shared" ref="Z99:AE99" si="79">-Z87</f>
        <v>-312</v>
      </c>
      <c r="AA99" s="356">
        <f t="shared" si="79"/>
        <v>-723</v>
      </c>
      <c r="AB99" s="85">
        <f t="shared" si="79"/>
        <v>-1363</v>
      </c>
      <c r="AC99" s="85">
        <f t="shared" si="79"/>
        <v>-1759</v>
      </c>
      <c r="AD99" s="85">
        <f t="shared" si="79"/>
        <v>-2071</v>
      </c>
      <c r="AE99" s="247">
        <f t="shared" si="79"/>
        <v>-2353</v>
      </c>
    </row>
    <row r="100" spans="1:31" x14ac:dyDescent="0.2">
      <c r="A100" t="s">
        <v>301</v>
      </c>
      <c r="C100" s="22">
        <f>C33</f>
        <v>1554.4300000000003</v>
      </c>
      <c r="D100" s="22">
        <f>D33</f>
        <v>-696.00749999999971</v>
      </c>
      <c r="E100" s="22">
        <f t="shared" ref="E100:N100" si="80">E33</f>
        <v>2743.0937499999964</v>
      </c>
      <c r="F100" s="22">
        <f t="shared" si="80"/>
        <v>-1531.2125000000015</v>
      </c>
      <c r="G100" s="22">
        <f t="shared" si="80"/>
        <v>2036.3875000000044</v>
      </c>
      <c r="H100" s="22">
        <f t="shared" si="80"/>
        <v>2405.6750000000029</v>
      </c>
      <c r="I100" s="22">
        <f t="shared" si="80"/>
        <v>2800.4887499999968</v>
      </c>
      <c r="J100" s="22">
        <f t="shared" si="80"/>
        <v>2753.1425000000017</v>
      </c>
      <c r="K100" s="22">
        <f t="shared" si="80"/>
        <v>4466.2824999999939</v>
      </c>
      <c r="L100" s="22">
        <f t="shared" si="80"/>
        <v>2315.1549999999988</v>
      </c>
      <c r="M100" s="22">
        <f t="shared" si="80"/>
        <v>-1638.7200000000012</v>
      </c>
      <c r="N100" s="22">
        <f t="shared" si="80"/>
        <v>280.72000000000116</v>
      </c>
      <c r="O100" s="22">
        <f>O33</f>
        <v>-623.16000000000349</v>
      </c>
      <c r="P100" s="107">
        <f>P33</f>
        <v>296.77499999999418</v>
      </c>
      <c r="Q100" s="107">
        <f>Q33</f>
        <v>-602.44999999999709</v>
      </c>
      <c r="R100" s="107">
        <f>R33</f>
        <v>3259.5500000000029</v>
      </c>
      <c r="S100" s="107">
        <f>S33</f>
        <v>4055.6512499999953</v>
      </c>
      <c r="T100" s="107">
        <f t="shared" ref="T100:Y100" si="81">T33</f>
        <v>-2772.8249999999971</v>
      </c>
      <c r="U100" s="107">
        <f t="shared" si="81"/>
        <v>-3765.2962499999994</v>
      </c>
      <c r="V100" s="107">
        <f t="shared" si="81"/>
        <v>1578.2553534285689</v>
      </c>
      <c r="W100" s="107">
        <f t="shared" si="81"/>
        <v>-4350.8232490000082</v>
      </c>
      <c r="X100" s="107">
        <f t="shared" si="81"/>
        <v>1003.829229022318</v>
      </c>
      <c r="Y100" s="107">
        <f t="shared" si="81"/>
        <v>6105.3707369999902</v>
      </c>
      <c r="Z100" s="107">
        <f t="shared" ref="Z100:AE100" si="82">Z33</f>
        <v>6240.8345500000141</v>
      </c>
      <c r="AA100" s="356">
        <f t="shared" si="82"/>
        <v>9074.4120030000195</v>
      </c>
      <c r="AB100" s="85">
        <f t="shared" si="82"/>
        <v>6399.9902845372417</v>
      </c>
      <c r="AC100" s="85">
        <f t="shared" si="82"/>
        <v>4769.4956086161546</v>
      </c>
      <c r="AD100" s="85">
        <f t="shared" si="82"/>
        <v>3591.9622517702228</v>
      </c>
      <c r="AE100" s="247">
        <f t="shared" si="82"/>
        <v>2125.7362820244743</v>
      </c>
    </row>
    <row r="101" spans="1:31" x14ac:dyDescent="0.2">
      <c r="A101" t="s">
        <v>302</v>
      </c>
      <c r="C101" s="22">
        <f t="shared" ref="C101:H101" si="83">-C71</f>
        <v>0</v>
      </c>
      <c r="D101" s="22">
        <f t="shared" si="83"/>
        <v>0</v>
      </c>
      <c r="E101" s="22">
        <f t="shared" si="83"/>
        <v>0</v>
      </c>
      <c r="F101" s="22">
        <f t="shared" si="83"/>
        <v>0</v>
      </c>
      <c r="G101" s="22">
        <f t="shared" si="83"/>
        <v>0</v>
      </c>
      <c r="H101" s="22">
        <f t="shared" si="83"/>
        <v>-758</v>
      </c>
      <c r="I101" s="22">
        <f t="shared" ref="I101:N101" si="84">-I71</f>
        <v>-1513</v>
      </c>
      <c r="J101" s="22">
        <f t="shared" si="84"/>
        <v>0</v>
      </c>
      <c r="K101" s="22">
        <f t="shared" si="84"/>
        <v>0</v>
      </c>
      <c r="L101" s="22">
        <f t="shared" si="84"/>
        <v>0</v>
      </c>
      <c r="M101" s="22">
        <f t="shared" si="84"/>
        <v>-4519</v>
      </c>
      <c r="N101" s="22">
        <f t="shared" si="84"/>
        <v>0</v>
      </c>
      <c r="O101" s="22">
        <f t="shared" ref="O101:T101" si="85">-O71</f>
        <v>0</v>
      </c>
      <c r="P101" s="107">
        <f t="shared" si="85"/>
        <v>0</v>
      </c>
      <c r="Q101" s="107">
        <f t="shared" si="85"/>
        <v>0</v>
      </c>
      <c r="R101" s="107">
        <f t="shared" si="85"/>
        <v>0</v>
      </c>
      <c r="S101" s="107">
        <f t="shared" si="85"/>
        <v>0</v>
      </c>
      <c r="T101" s="107">
        <f t="shared" si="85"/>
        <v>0</v>
      </c>
      <c r="U101" s="107">
        <f t="shared" ref="U101:Z101" si="86">-U71</f>
        <v>0</v>
      </c>
      <c r="V101" s="107">
        <f t="shared" si="86"/>
        <v>0</v>
      </c>
      <c r="W101" s="107">
        <f t="shared" si="86"/>
        <v>0</v>
      </c>
      <c r="X101" s="107">
        <f t="shared" si="86"/>
        <v>0</v>
      </c>
      <c r="Y101" s="107">
        <f t="shared" si="86"/>
        <v>0</v>
      </c>
      <c r="Z101" s="107">
        <f t="shared" si="86"/>
        <v>0</v>
      </c>
      <c r="AA101" s="356">
        <f>-AA71</f>
        <v>0</v>
      </c>
      <c r="AB101" s="85">
        <f>-AB71</f>
        <v>0</v>
      </c>
      <c r="AC101" s="85">
        <f>-AC71</f>
        <v>0</v>
      </c>
      <c r="AD101" s="85">
        <f>-AD71</f>
        <v>0</v>
      </c>
      <c r="AE101" s="247">
        <f>-AE71</f>
        <v>0</v>
      </c>
    </row>
    <row r="102" spans="1:31" ht="13.5" thickBot="1" x14ac:dyDescent="0.25">
      <c r="A102" t="s">
        <v>303</v>
      </c>
      <c r="C102" s="66">
        <f>SUM(C98:C101)</f>
        <v>1443.4300000000003</v>
      </c>
      <c r="D102" s="66">
        <f>SUM(D98:D101)</f>
        <v>686.42250000000058</v>
      </c>
      <c r="E102" s="66">
        <f t="shared" ref="E102:P102" si="87">SUM(E98:E101)</f>
        <v>3172.5162499999969</v>
      </c>
      <c r="F102" s="66">
        <f t="shared" si="87"/>
        <v>1493.3037499999955</v>
      </c>
      <c r="G102" s="66">
        <f t="shared" si="87"/>
        <v>3236.6912499999999</v>
      </c>
      <c r="H102" s="66">
        <f t="shared" si="87"/>
        <v>4504.3662500000028</v>
      </c>
      <c r="I102" s="66">
        <f t="shared" si="87"/>
        <v>5352.8549999999996</v>
      </c>
      <c r="J102" s="66">
        <f t="shared" si="87"/>
        <v>7454.9975000000013</v>
      </c>
      <c r="K102" s="66">
        <f t="shared" si="87"/>
        <v>10951.279999999995</v>
      </c>
      <c r="L102" s="66">
        <f t="shared" si="87"/>
        <v>12131.434999999994</v>
      </c>
      <c r="M102" s="66">
        <f t="shared" si="87"/>
        <v>5503.7149999999929</v>
      </c>
      <c r="N102" s="66">
        <f t="shared" si="87"/>
        <v>5291.434999999994</v>
      </c>
      <c r="O102" s="66">
        <f t="shared" si="87"/>
        <v>4224.2749999999905</v>
      </c>
      <c r="P102" s="140">
        <f t="shared" si="87"/>
        <v>4055.0499999999847</v>
      </c>
      <c r="Q102" s="140">
        <f t="shared" ref="Q102:AC102" si="88">SUM(Q98:Q101)</f>
        <v>2985.5999999999876</v>
      </c>
      <c r="R102" s="140">
        <f t="shared" si="88"/>
        <v>5775.1499999999905</v>
      </c>
      <c r="S102" s="140">
        <f t="shared" si="88"/>
        <v>9120.8012499999859</v>
      </c>
      <c r="T102" s="140">
        <f t="shared" si="88"/>
        <v>5234.9762499999888</v>
      </c>
      <c r="U102" s="140">
        <f t="shared" si="88"/>
        <v>553.67999999998938</v>
      </c>
      <c r="V102" s="140">
        <f t="shared" si="88"/>
        <v>1544.9353534285583</v>
      </c>
      <c r="W102" s="140">
        <f t="shared" si="88"/>
        <v>-3295.8878955714499</v>
      </c>
      <c r="X102" s="140">
        <f t="shared" si="88"/>
        <v>-2473.0586665491319</v>
      </c>
      <c r="Y102" s="140">
        <f t="shared" si="88"/>
        <v>3702.3120704508583</v>
      </c>
      <c r="Z102" s="140">
        <f t="shared" si="88"/>
        <v>9631.1466204508724</v>
      </c>
      <c r="AA102" s="365">
        <f t="shared" si="88"/>
        <v>17982.558623450892</v>
      </c>
      <c r="AB102" s="94">
        <f t="shared" si="88"/>
        <v>23019.548907988134</v>
      </c>
      <c r="AC102" s="94">
        <f t="shared" si="88"/>
        <v>26030.044516604288</v>
      </c>
      <c r="AD102" s="94">
        <f t="shared" ref="AD102:AE102" si="89">SUM(AD98:AD101)</f>
        <v>27551.006768374511</v>
      </c>
      <c r="AE102" s="257">
        <f t="shared" si="89"/>
        <v>27323.743050398985</v>
      </c>
    </row>
    <row r="103" spans="1:31" ht="13.5" thickTop="1" x14ac:dyDescent="0.2"/>
    <row r="104" spans="1:31" x14ac:dyDescent="0.2">
      <c r="H104" s="22">
        <f>H102-H95</f>
        <v>0</v>
      </c>
      <c r="M104" s="22">
        <f>M95-M102</f>
        <v>-1</v>
      </c>
      <c r="N104" s="22">
        <f>N95-N102</f>
        <v>0</v>
      </c>
      <c r="O104" s="22">
        <f>O95-O102</f>
        <v>0</v>
      </c>
      <c r="P104" s="107">
        <f>P95-P102</f>
        <v>0</v>
      </c>
      <c r="Q104" s="107">
        <f t="shared" ref="Q104:Z104" si="90">Q95-Q102</f>
        <v>0</v>
      </c>
      <c r="R104" s="107">
        <f t="shared" si="90"/>
        <v>0</v>
      </c>
      <c r="S104" s="107">
        <f t="shared" si="90"/>
        <v>0</v>
      </c>
      <c r="T104" s="107">
        <f t="shared" si="90"/>
        <v>0</v>
      </c>
      <c r="U104" s="107">
        <f t="shared" si="90"/>
        <v>0</v>
      </c>
      <c r="V104" s="107">
        <f t="shared" si="90"/>
        <v>0</v>
      </c>
      <c r="W104" s="107">
        <f t="shared" si="90"/>
        <v>0</v>
      </c>
      <c r="X104" s="107">
        <f t="shared" si="90"/>
        <v>0</v>
      </c>
      <c r="Y104" s="107">
        <f t="shared" si="90"/>
        <v>0</v>
      </c>
      <c r="Z104" s="107">
        <f t="shared" si="90"/>
        <v>0</v>
      </c>
      <c r="AA104" s="356">
        <f>AA95-AA102</f>
        <v>0</v>
      </c>
      <c r="AB104" s="85">
        <f>AB95-AB102</f>
        <v>0</v>
      </c>
      <c r="AC104" s="85">
        <f>AC95-AC102</f>
        <v>0</v>
      </c>
      <c r="AD104" s="85">
        <f>AD95-AD102</f>
        <v>0</v>
      </c>
      <c r="AE104" s="247">
        <f>AE95-AE102</f>
        <v>0</v>
      </c>
    </row>
  </sheetData>
  <phoneticPr fontId="0" type="noConversion"/>
  <pageMargins left="0.5" right="0.5" top="0.5" bottom="0.45" header="0.25" footer="0.25"/>
  <pageSetup paperSize="5" scale="46" fitToHeight="2" orientation="landscape" r:id="rId1"/>
  <headerFooter alignWithMargins="0">
    <oddFooter>&amp;L&amp;"Arial,Bold"&amp;F&amp;C&amp;A&amp;R&amp;D  &amp;T</oddFooter>
  </headerFooter>
  <rowBreaks count="1" manualBreakCount="1">
    <brk id="72" max="3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74"/>
  <sheetViews>
    <sheetView workbookViewId="0">
      <pane xSplit="2" ySplit="5" topLeftCell="J6" activePane="bottomRight" state="frozen"/>
      <selection activeCell="AF39" sqref="AF39"/>
      <selection pane="topRight" activeCell="AF39" sqref="AF39"/>
      <selection pane="bottomLeft" activeCell="AF39" sqref="AF39"/>
      <selection pane="bottomRight" activeCell="J46" sqref="J46"/>
    </sheetView>
  </sheetViews>
  <sheetFormatPr baseColWidth="10" defaultColWidth="9.140625" defaultRowHeight="12.75" x14ac:dyDescent="0.2"/>
  <cols>
    <col min="1" max="1" width="55.140625" customWidth="1"/>
    <col min="2" max="2" width="20.28515625" customWidth="1"/>
    <col min="3" max="5" width="9.28515625" customWidth="1"/>
    <col min="6" max="6" width="10" customWidth="1"/>
    <col min="7" max="7" width="10.140625" customWidth="1"/>
    <col min="8" max="8" width="9.28515625" customWidth="1"/>
    <col min="9" max="9" width="10.42578125" customWidth="1"/>
    <col min="11" max="21" width="9.140625" style="116"/>
    <col min="22" max="22" width="9.140625" style="345"/>
    <col min="23" max="25" width="9.140625" style="76"/>
    <col min="26" max="26" width="9.140625" style="239"/>
    <col min="40" max="40" width="9.140625" style="177"/>
  </cols>
  <sheetData>
    <row r="1" spans="1:40" ht="15.75" x14ac:dyDescent="0.25">
      <c r="A1" s="18" t="s">
        <v>258</v>
      </c>
      <c r="B1" s="18"/>
    </row>
    <row r="2" spans="1:40" ht="15.75" x14ac:dyDescent="0.25">
      <c r="A2" s="2" t="s">
        <v>105</v>
      </c>
      <c r="B2" s="18"/>
    </row>
    <row r="3" spans="1:40" ht="15.75" x14ac:dyDescent="0.25">
      <c r="A3" s="2" t="s">
        <v>146</v>
      </c>
      <c r="B3" s="18"/>
    </row>
    <row r="5" spans="1:40" s="2" customFormat="1" ht="13.5" thickBot="1" x14ac:dyDescent="0.25">
      <c r="A5" s="19" t="s">
        <v>1</v>
      </c>
      <c r="B5" s="20" t="s">
        <v>26</v>
      </c>
      <c r="C5" s="20">
        <v>1996</v>
      </c>
      <c r="D5" s="20">
        <v>1997</v>
      </c>
      <c r="E5" s="20">
        <v>1998</v>
      </c>
      <c r="F5" s="20">
        <v>1999</v>
      </c>
      <c r="G5" s="20">
        <v>2000</v>
      </c>
      <c r="H5" s="20">
        <v>2001</v>
      </c>
      <c r="I5" s="20">
        <v>2002</v>
      </c>
      <c r="J5" s="20">
        <v>2003</v>
      </c>
      <c r="K5" s="117">
        <v>2004</v>
      </c>
      <c r="L5" s="117">
        <v>2005</v>
      </c>
      <c r="M5" s="117">
        <v>2006</v>
      </c>
      <c r="N5" s="117">
        <v>2007</v>
      </c>
      <c r="O5" s="117">
        <v>2008</v>
      </c>
      <c r="P5" s="117">
        <v>2009</v>
      </c>
      <c r="Q5" s="117">
        <v>2010</v>
      </c>
      <c r="R5" s="117">
        <v>2011</v>
      </c>
      <c r="S5" s="117">
        <v>2012</v>
      </c>
      <c r="T5" s="117">
        <v>2013</v>
      </c>
      <c r="U5" s="117">
        <v>2014</v>
      </c>
      <c r="V5" s="349">
        <v>2015</v>
      </c>
      <c r="W5" s="77">
        <v>2016</v>
      </c>
      <c r="X5" s="77">
        <v>2017</v>
      </c>
      <c r="Y5" s="77">
        <v>2018</v>
      </c>
      <c r="Z5" s="240">
        <v>2019</v>
      </c>
      <c r="AA5" s="20">
        <v>2020</v>
      </c>
      <c r="AB5" s="20">
        <v>2021</v>
      </c>
      <c r="AC5" s="20">
        <v>2022</v>
      </c>
      <c r="AD5" s="20">
        <v>2023</v>
      </c>
      <c r="AE5" s="20">
        <v>2023</v>
      </c>
      <c r="AF5" s="20">
        <v>2024</v>
      </c>
      <c r="AG5" s="20">
        <v>2025</v>
      </c>
      <c r="AH5" s="20">
        <v>2026</v>
      </c>
      <c r="AI5" s="73"/>
      <c r="AJ5" s="73"/>
      <c r="AK5" s="73"/>
      <c r="AL5" s="73"/>
      <c r="AN5" s="178" t="s">
        <v>298</v>
      </c>
    </row>
    <row r="8" spans="1:40" x14ac:dyDescent="0.2">
      <c r="A8" s="28" t="s">
        <v>69</v>
      </c>
    </row>
    <row r="9" spans="1:40" s="3" customFormat="1" x14ac:dyDescent="0.2">
      <c r="A9" s="3" t="s">
        <v>48</v>
      </c>
      <c r="B9" s="3" t="s">
        <v>259</v>
      </c>
      <c r="C9" s="3">
        <f>'RCA data'!C11</f>
        <v>380</v>
      </c>
      <c r="D9" s="3">
        <f>'RCA data'!D11</f>
        <v>347</v>
      </c>
      <c r="E9" s="3">
        <f>'RCA data'!E11</f>
        <v>273</v>
      </c>
      <c r="F9" s="3">
        <f>'RCA data'!F11</f>
        <v>286</v>
      </c>
      <c r="G9" s="3">
        <f>'RCA data'!G11</f>
        <v>239</v>
      </c>
      <c r="H9" s="3">
        <f>'RCA data'!H11</f>
        <v>306</v>
      </c>
      <c r="I9" s="3">
        <f>'RCA data'!I11</f>
        <v>361</v>
      </c>
      <c r="J9" s="3">
        <f>'RCA data'!J11</f>
        <v>474.67</v>
      </c>
      <c r="K9" s="122">
        <f>'RCA data'!K11</f>
        <v>157.977</v>
      </c>
      <c r="L9" s="122">
        <f>'RCA data'!L11</f>
        <v>188.56900000000002</v>
      </c>
      <c r="M9" s="122">
        <f>'RCA data'!M11</f>
        <v>167.649</v>
      </c>
      <c r="N9" s="122">
        <f>'RCA data'!N11</f>
        <v>207.655</v>
      </c>
      <c r="O9" s="122">
        <f>'RCA data'!O11</f>
        <v>245.40100000000001</v>
      </c>
      <c r="P9" s="122">
        <f>'RCA data'!P11</f>
        <v>227.29400000000001</v>
      </c>
      <c r="Q9" s="122">
        <f>'RCA data'!Q11</f>
        <v>295.99200000000002</v>
      </c>
      <c r="R9" s="122">
        <f>'RCA data'!R11</f>
        <v>383.58199999999999</v>
      </c>
      <c r="S9" s="122">
        <f>'RCA data'!S11</f>
        <v>391.83499999999998</v>
      </c>
      <c r="T9" s="122">
        <f>'RCA data'!T11</f>
        <v>380.09500000000003</v>
      </c>
      <c r="U9" s="122">
        <f>'RCA data'!U11</f>
        <v>344.35599999999999</v>
      </c>
      <c r="V9" s="352">
        <f>'RCA data'!V11</f>
        <v>329.99400000000003</v>
      </c>
      <c r="W9" s="79">
        <f>'RCA data'!W11</f>
        <v>309.17200000000003</v>
      </c>
      <c r="X9" s="79">
        <f>'RCA data'!X11</f>
        <v>310.16956500000003</v>
      </c>
      <c r="Y9" s="79">
        <f>'RCA data'!Y11</f>
        <v>311.20723923125001</v>
      </c>
      <c r="Z9" s="241">
        <f>'RCA data'!Z11</f>
        <v>312.28814035075783</v>
      </c>
      <c r="AN9" s="179"/>
    </row>
    <row r="10" spans="1:40" s="3" customFormat="1" x14ac:dyDescent="0.2">
      <c r="A10" s="3" t="s">
        <v>70</v>
      </c>
      <c r="B10" s="3" t="s">
        <v>259</v>
      </c>
      <c r="C10" s="3">
        <f>'RCA data'!D13</f>
        <v>31</v>
      </c>
      <c r="D10" s="3">
        <f>'RCA data'!E13</f>
        <v>21</v>
      </c>
      <c r="E10" s="3">
        <f>'RCA data'!F13</f>
        <v>25</v>
      </c>
      <c r="F10" s="3">
        <f>'RCA data'!G13</f>
        <v>22</v>
      </c>
      <c r="G10" s="3">
        <f>'RCA data'!H13</f>
        <v>18</v>
      </c>
      <c r="H10" s="3">
        <f>'RCA data'!I13</f>
        <v>32</v>
      </c>
      <c r="I10" s="3">
        <f>'RCA data'!J13</f>
        <v>32.648000000000003</v>
      </c>
      <c r="J10" s="3">
        <f>'RCA data'!K13</f>
        <v>9.0760000000000005</v>
      </c>
      <c r="K10" s="122">
        <f>'RCA data'!L13</f>
        <v>10.337</v>
      </c>
      <c r="L10" s="122">
        <f>'RCA data'!M13</f>
        <v>11.595000000000001</v>
      </c>
      <c r="M10" s="122">
        <f>'RCA data'!N13</f>
        <v>7.33</v>
      </c>
      <c r="N10" s="122">
        <f>'RCA data'!O13</f>
        <v>9.3049999999999997</v>
      </c>
      <c r="O10" s="122">
        <f>'RCA data'!P13</f>
        <v>10.839</v>
      </c>
      <c r="P10" s="122">
        <f>'RCA data'!Q13</f>
        <v>9.9450000000000003</v>
      </c>
      <c r="Q10" s="122">
        <f>'RCA data'!R13</f>
        <v>12.819000000000001</v>
      </c>
      <c r="R10" s="122">
        <f>'RCA data'!S13</f>
        <v>15.012</v>
      </c>
      <c r="S10" s="122">
        <f>'RCA data'!T13</f>
        <v>14.574999999999999</v>
      </c>
      <c r="T10" s="122">
        <f>'RCA data'!U13</f>
        <v>13.451000000000001</v>
      </c>
      <c r="U10" s="122">
        <f>'RCA data'!V13</f>
        <v>6.5359999999999996</v>
      </c>
      <c r="V10" s="352">
        <f>'RCA data'!W13</f>
        <v>8.2240000000000002</v>
      </c>
      <c r="W10" s="79">
        <f>'RCA data'!X13</f>
        <v>8.4295999999999989</v>
      </c>
      <c r="X10" s="79">
        <f>'RCA data'!Y13</f>
        <v>8.6403399999999984</v>
      </c>
      <c r="Y10" s="79">
        <f>'RCA data'!Z13</f>
        <v>8.8563484999999975</v>
      </c>
      <c r="Z10" s="241">
        <f>'RCA data'!AA13</f>
        <v>9.0777572124999963</v>
      </c>
      <c r="AN10" s="179"/>
    </row>
    <row r="11" spans="1:40" s="3" customFormat="1" x14ac:dyDescent="0.2">
      <c r="A11" s="3" t="s">
        <v>71</v>
      </c>
      <c r="B11" s="3" t="s">
        <v>259</v>
      </c>
      <c r="C11" s="3">
        <f>'RCA data'!D14</f>
        <v>0</v>
      </c>
      <c r="D11" s="3">
        <f>'RCA data'!E14</f>
        <v>0</v>
      </c>
      <c r="E11" s="3">
        <f>'RCA data'!F14</f>
        <v>0</v>
      </c>
      <c r="F11" s="3">
        <f>'RCA data'!G14</f>
        <v>0</v>
      </c>
      <c r="G11" s="3">
        <f>'RCA data'!H14</f>
        <v>0</v>
      </c>
      <c r="H11" s="3">
        <f>'RCA data'!I14</f>
        <v>39</v>
      </c>
      <c r="I11" s="3">
        <f>'RCA data'!J14</f>
        <v>0</v>
      </c>
      <c r="J11" s="3">
        <f>'RCA data'!K14</f>
        <v>0</v>
      </c>
      <c r="K11" s="122">
        <f>'RCA data'!L14</f>
        <v>0</v>
      </c>
      <c r="L11" s="122">
        <f>'RCA data'!M14</f>
        <v>0</v>
      </c>
      <c r="M11" s="122">
        <f>'RCA data'!N14</f>
        <v>0</v>
      </c>
      <c r="N11" s="122">
        <f>'RCA data'!O14</f>
        <v>0</v>
      </c>
      <c r="O11" s="122">
        <f>'RCA data'!P14</f>
        <v>0</v>
      </c>
      <c r="P11" s="122">
        <f>'RCA data'!Q14</f>
        <v>0</v>
      </c>
      <c r="Q11" s="122">
        <f>'RCA data'!R14</f>
        <v>0</v>
      </c>
      <c r="R11" s="122">
        <f>'RCA data'!S14</f>
        <v>0</v>
      </c>
      <c r="S11" s="122">
        <f>'RCA data'!T14</f>
        <v>0</v>
      </c>
      <c r="T11" s="122">
        <f>'RCA data'!U14</f>
        <v>0</v>
      </c>
      <c r="U11" s="122">
        <f>'RCA data'!V14</f>
        <v>0</v>
      </c>
      <c r="V11" s="352">
        <f>'RCA data'!W14</f>
        <v>0</v>
      </c>
      <c r="W11" s="79">
        <f>'RCA data'!X14</f>
        <v>0</v>
      </c>
      <c r="X11" s="79">
        <f>'RCA data'!Y14</f>
        <v>0</v>
      </c>
      <c r="Y11" s="79">
        <f>'RCA data'!Z14</f>
        <v>0</v>
      </c>
      <c r="Z11" s="241">
        <f>'RCA data'!AA14</f>
        <v>0</v>
      </c>
      <c r="AN11" s="179"/>
    </row>
    <row r="12" spans="1:40" s="3" customFormat="1" x14ac:dyDescent="0.2">
      <c r="A12" s="3" t="s">
        <v>72</v>
      </c>
      <c r="B12" s="3" t="s">
        <v>262</v>
      </c>
      <c r="C12" s="3">
        <f>'RCA interest'!C14</f>
        <v>16.314375000000002</v>
      </c>
      <c r="D12" s="3">
        <f>'RCA interest'!D14</f>
        <v>13.853125</v>
      </c>
      <c r="E12" s="3">
        <f>'RCA interest'!E14</f>
        <v>11.636249999999999</v>
      </c>
      <c r="F12" s="3">
        <f>'RCA interest'!F14</f>
        <v>10.023750000000001</v>
      </c>
      <c r="G12" s="3">
        <f>'RCA interest'!G14</f>
        <v>7.75</v>
      </c>
      <c r="H12" s="3">
        <f>'RCA interest'!H14</f>
        <v>10.7415</v>
      </c>
      <c r="I12" s="3">
        <f>'RCA interest'!I14</f>
        <v>11.112797499999999</v>
      </c>
      <c r="J12" s="3">
        <f>'RCA interest'!J14</f>
        <v>13.632789750000001</v>
      </c>
      <c r="K12" s="122">
        <f>'RCA interest'!K14</f>
        <v>4.3366431250000002</v>
      </c>
      <c r="L12" s="122">
        <f>'RCA interest'!L14</f>
        <v>4.4408170000000009</v>
      </c>
      <c r="M12" s="122">
        <f>'RCA interest'!M14</f>
        <v>3.9929789999999996</v>
      </c>
      <c r="N12" s="122">
        <f>'RCA interest'!N14</f>
        <v>4.8987052499999999</v>
      </c>
      <c r="O12" s="122">
        <f>'RCA interest'!O14</f>
        <v>4.9792900000000007</v>
      </c>
      <c r="P12" s="122">
        <f>'RCA interest'!P14</f>
        <v>4.6010800000000005</v>
      </c>
      <c r="Q12" s="122">
        <f>'RCA interest'!Q14</f>
        <v>6.8999195000000002</v>
      </c>
      <c r="R12" s="122">
        <f>'RCA interest'!R14</f>
        <v>7.8596223749999989</v>
      </c>
      <c r="S12" s="122">
        <f>'RCA interest'!S14</f>
        <v>6.7335725000000011</v>
      </c>
      <c r="T12" s="122">
        <f>'RCA interest'!T14</f>
        <v>6.5199250000000006</v>
      </c>
      <c r="U12" s="122">
        <f>'RCA interest'!U14</f>
        <v>7.2052364999999998</v>
      </c>
      <c r="V12" s="352">
        <f>'RCA interest'!V14</f>
        <v>5.493497500000001</v>
      </c>
      <c r="W12" s="79">
        <f>'RCA interest'!W14</f>
        <v>4.9913298500000005</v>
      </c>
      <c r="X12" s="79">
        <f>'RCA interest'!X14</f>
        <v>5.0077344590000008</v>
      </c>
      <c r="Y12" s="79">
        <f>'RCA interest'!Y14</f>
        <v>5.0248108782990633</v>
      </c>
      <c r="Z12" s="241">
        <f>'RCA interest'!Z14</f>
        <v>5.0426104984185596</v>
      </c>
      <c r="AN12" s="179"/>
    </row>
    <row r="13" spans="1:40" s="3" customFormat="1" x14ac:dyDescent="0.2">
      <c r="A13" s="3" t="s">
        <v>74</v>
      </c>
      <c r="B13" s="3" t="s">
        <v>259</v>
      </c>
      <c r="C13" s="6">
        <f>'RCA data'!D16</f>
        <v>0</v>
      </c>
      <c r="D13" s="6">
        <f>'RCA data'!E16</f>
        <v>0</v>
      </c>
      <c r="E13" s="6">
        <f>'RCA data'!F16</f>
        <v>0</v>
      </c>
      <c r="F13" s="6">
        <f>'RCA data'!G16</f>
        <v>0</v>
      </c>
      <c r="G13" s="6">
        <f>'RCA data'!H16</f>
        <v>0</v>
      </c>
      <c r="H13" s="6">
        <f>'RCA data'!I16</f>
        <v>-1</v>
      </c>
      <c r="I13" s="6">
        <f>'RCA data'!J16</f>
        <v>-1.238</v>
      </c>
      <c r="J13" s="6">
        <f>'RCA data'!K16</f>
        <v>-1.7290000000000001</v>
      </c>
      <c r="K13" s="126">
        <f>'RCA data'!L16</f>
        <v>-2.056</v>
      </c>
      <c r="L13" s="126">
        <f>'RCA data'!M16</f>
        <v>-2.5750000000000002</v>
      </c>
      <c r="M13" s="126">
        <f>'RCA data'!N16</f>
        <v>-2.8</v>
      </c>
      <c r="N13" s="126">
        <f>'RCA data'!O16</f>
        <v>-3.2210000000000001</v>
      </c>
      <c r="O13" s="126">
        <f>'RCA data'!P16</f>
        <v>-3.7120000000000002</v>
      </c>
      <c r="P13" s="126">
        <f>'RCA data'!Q16</f>
        <v>-4.4249999999999998</v>
      </c>
      <c r="Q13" s="126">
        <f>'RCA data'!R16</f>
        <v>-4.8099999999999996</v>
      </c>
      <c r="R13" s="126">
        <f>'RCA data'!S16</f>
        <v>-5.9169999999999998</v>
      </c>
      <c r="S13" s="126">
        <f>'RCA data'!T16</f>
        <v>-6.06</v>
      </c>
      <c r="T13" s="126">
        <f>'RCA data'!U16</f>
        <v>-6.5910000000000002</v>
      </c>
      <c r="U13" s="126">
        <f>'RCA data'!V16</f>
        <v>-9.0350000000000001</v>
      </c>
      <c r="V13" s="353">
        <f>'RCA data'!W16</f>
        <v>-12.272</v>
      </c>
      <c r="W13" s="81">
        <f>'RCA data'!X16</f>
        <v>-12.456079999999998</v>
      </c>
      <c r="X13" s="81">
        <f>'RCA data'!Y16</f>
        <v>-12.642921199999996</v>
      </c>
      <c r="Y13" s="81">
        <f>'RCA data'!Z16</f>
        <v>-12.832565017999995</v>
      </c>
      <c r="Z13" s="242">
        <f>'RCA data'!AA16</f>
        <v>-13.025053493269994</v>
      </c>
      <c r="AN13" s="179"/>
    </row>
    <row r="14" spans="1:40" s="8" customFormat="1" x14ac:dyDescent="0.2">
      <c r="A14" s="8" t="s">
        <v>297</v>
      </c>
      <c r="B14" s="8" t="s">
        <v>31</v>
      </c>
      <c r="C14" s="8">
        <f t="shared" ref="C14:J14" si="0">SUM(C9:C13)</f>
        <v>427.31437499999998</v>
      </c>
      <c r="D14" s="8">
        <f t="shared" si="0"/>
        <v>381.85312499999998</v>
      </c>
      <c r="E14" s="8">
        <f t="shared" si="0"/>
        <v>309.63625000000002</v>
      </c>
      <c r="F14" s="8">
        <f t="shared" si="0"/>
        <v>318.02375000000001</v>
      </c>
      <c r="G14" s="8">
        <f t="shared" si="0"/>
        <v>264.75</v>
      </c>
      <c r="H14" s="8">
        <f t="shared" si="0"/>
        <v>386.74149999999997</v>
      </c>
      <c r="I14" s="8">
        <f t="shared" si="0"/>
        <v>403.52279750000002</v>
      </c>
      <c r="J14" s="8">
        <f t="shared" si="0"/>
        <v>495.64978975000002</v>
      </c>
      <c r="K14" s="120">
        <f t="shared" ref="K14:X14" si="1">SUM(K9:K13)</f>
        <v>170.59464312499998</v>
      </c>
      <c r="L14" s="120">
        <f t="shared" si="1"/>
        <v>202.02981700000004</v>
      </c>
      <c r="M14" s="120">
        <f t="shared" si="1"/>
        <v>176.17197899999999</v>
      </c>
      <c r="N14" s="120">
        <f t="shared" si="1"/>
        <v>218.63770525000001</v>
      </c>
      <c r="O14" s="120">
        <f t="shared" si="1"/>
        <v>257.50729000000001</v>
      </c>
      <c r="P14" s="120">
        <f t="shared" si="1"/>
        <v>237.41507999999999</v>
      </c>
      <c r="Q14" s="120">
        <f t="shared" si="1"/>
        <v>310.90091950000004</v>
      </c>
      <c r="R14" s="120">
        <f t="shared" si="1"/>
        <v>400.53662237500004</v>
      </c>
      <c r="S14" s="120">
        <f t="shared" si="1"/>
        <v>407.08357249999995</v>
      </c>
      <c r="T14" s="120">
        <f t="shared" si="1"/>
        <v>393.47492500000004</v>
      </c>
      <c r="U14" s="120">
        <f t="shared" si="1"/>
        <v>349.06223649999998</v>
      </c>
      <c r="V14" s="350">
        <f t="shared" si="1"/>
        <v>331.43949750000002</v>
      </c>
      <c r="W14" s="78">
        <f t="shared" si="1"/>
        <v>310.13684985000003</v>
      </c>
      <c r="X14" s="78">
        <f t="shared" si="1"/>
        <v>311.17471825900003</v>
      </c>
      <c r="Y14" s="78">
        <f t="shared" ref="Y14:Z14" si="2">SUM(Y9:Y13)</f>
        <v>312.25583359154911</v>
      </c>
      <c r="Z14" s="243">
        <f t="shared" si="2"/>
        <v>313.38345456840642</v>
      </c>
      <c r="AN14" s="180"/>
    </row>
    <row r="15" spans="1:40" s="3" customFormat="1" x14ac:dyDescent="0.2">
      <c r="A15" s="3" t="s">
        <v>75</v>
      </c>
      <c r="B15" s="3" t="s">
        <v>259</v>
      </c>
      <c r="C15" s="6">
        <f>'RCA data'!D11</f>
        <v>347</v>
      </c>
      <c r="D15" s="6">
        <f>'RCA data'!E11</f>
        <v>273</v>
      </c>
      <c r="E15" s="6">
        <f>'RCA data'!F11</f>
        <v>286</v>
      </c>
      <c r="F15" s="6">
        <f>'RCA data'!G11</f>
        <v>239</v>
      </c>
      <c r="G15" s="6">
        <f>'RCA data'!H11</f>
        <v>306</v>
      </c>
      <c r="H15" s="6">
        <f>'RCA data'!I11</f>
        <v>361</v>
      </c>
      <c r="I15" s="6">
        <f>'RCA data'!J11</f>
        <v>474.67</v>
      </c>
      <c r="J15" s="6">
        <f>'RCA data'!K11</f>
        <v>157.977</v>
      </c>
      <c r="K15" s="126">
        <f>'RCA data'!L11</f>
        <v>188.56900000000002</v>
      </c>
      <c r="L15" s="126">
        <f>'RCA data'!M11</f>
        <v>167.649</v>
      </c>
      <c r="M15" s="126">
        <f>'RCA data'!N11</f>
        <v>207.655</v>
      </c>
      <c r="N15" s="126">
        <f>'RCA data'!O11</f>
        <v>245.40100000000001</v>
      </c>
      <c r="O15" s="126">
        <f>'RCA data'!P11</f>
        <v>227.29400000000001</v>
      </c>
      <c r="P15" s="126">
        <f>'RCA data'!Q11</f>
        <v>295.99200000000002</v>
      </c>
      <c r="Q15" s="126">
        <f>'RCA data'!R11</f>
        <v>383.58199999999999</v>
      </c>
      <c r="R15" s="126">
        <f>'RCA data'!S11</f>
        <v>391.83499999999998</v>
      </c>
      <c r="S15" s="126">
        <f>'RCA data'!T11</f>
        <v>380.09500000000003</v>
      </c>
      <c r="T15" s="126">
        <f>'RCA data'!U11</f>
        <v>344.35599999999999</v>
      </c>
      <c r="U15" s="126">
        <f>'RCA data'!V11</f>
        <v>329.99400000000003</v>
      </c>
      <c r="V15" s="353">
        <f>'RCA data'!W11</f>
        <v>309.17200000000003</v>
      </c>
      <c r="W15" s="81">
        <f>'RCA data'!X11</f>
        <v>310.16956500000003</v>
      </c>
      <c r="X15" s="81">
        <f>'RCA data'!Y11</f>
        <v>311.20723923125001</v>
      </c>
      <c r="Y15" s="81">
        <f>'RCA data'!Z11</f>
        <v>312.28814035075783</v>
      </c>
      <c r="Z15" s="242">
        <f>'RCA data'!AA11</f>
        <v>313.41552635068763</v>
      </c>
      <c r="AN15" s="179"/>
    </row>
    <row r="16" spans="1:40" s="25" customFormat="1" x14ac:dyDescent="0.2">
      <c r="A16" s="25" t="s">
        <v>76</v>
      </c>
      <c r="B16" s="8" t="s">
        <v>31</v>
      </c>
      <c r="C16" s="26">
        <f t="shared" ref="C16:J16" si="3">C14-C15</f>
        <v>80.314374999999984</v>
      </c>
      <c r="D16" s="26">
        <f t="shared" si="3"/>
        <v>108.85312499999998</v>
      </c>
      <c r="E16" s="26">
        <f t="shared" si="3"/>
        <v>23.636250000000018</v>
      </c>
      <c r="F16" s="26">
        <f t="shared" si="3"/>
        <v>79.023750000000007</v>
      </c>
      <c r="G16" s="26">
        <f t="shared" si="3"/>
        <v>-41.25</v>
      </c>
      <c r="H16" s="26">
        <f t="shared" si="3"/>
        <v>25.741499999999974</v>
      </c>
      <c r="I16" s="26">
        <f t="shared" si="3"/>
        <v>-71.147202499999992</v>
      </c>
      <c r="J16" s="26">
        <f t="shared" si="3"/>
        <v>337.67278974999999</v>
      </c>
      <c r="K16" s="130">
        <f t="shared" ref="K16:X16" si="4">K14-K15</f>
        <v>-17.974356875000041</v>
      </c>
      <c r="L16" s="130">
        <f t="shared" si="4"/>
        <v>34.380817000000036</v>
      </c>
      <c r="M16" s="130">
        <f t="shared" si="4"/>
        <v>-31.483021000000008</v>
      </c>
      <c r="N16" s="130">
        <f t="shared" si="4"/>
        <v>-26.76329475</v>
      </c>
      <c r="O16" s="130">
        <f t="shared" si="4"/>
        <v>30.213290000000001</v>
      </c>
      <c r="P16" s="130">
        <f t="shared" si="4"/>
        <v>-58.57692000000003</v>
      </c>
      <c r="Q16" s="130">
        <f t="shared" si="4"/>
        <v>-72.68108049999995</v>
      </c>
      <c r="R16" s="130">
        <f t="shared" si="4"/>
        <v>8.7016223750000563</v>
      </c>
      <c r="S16" s="130">
        <f t="shared" si="4"/>
        <v>26.988572499999918</v>
      </c>
      <c r="T16" s="130">
        <f t="shared" si="4"/>
        <v>49.118925000000047</v>
      </c>
      <c r="U16" s="130">
        <f t="shared" si="4"/>
        <v>19.068236499999955</v>
      </c>
      <c r="V16" s="354">
        <f t="shared" si="4"/>
        <v>22.26749749999999</v>
      </c>
      <c r="W16" s="83">
        <f t="shared" si="4"/>
        <v>-3.2715150000001358E-2</v>
      </c>
      <c r="X16" s="83">
        <f t="shared" si="4"/>
        <v>-3.2520972249983515E-2</v>
      </c>
      <c r="Y16" s="83">
        <f t="shared" ref="Y16:Z16" si="5">Y14-Y15</f>
        <v>-3.2306759208722724E-2</v>
      </c>
      <c r="Z16" s="245">
        <f t="shared" si="5"/>
        <v>-3.2071782281207106E-2</v>
      </c>
      <c r="AN16" s="186"/>
    </row>
    <row r="18" spans="1:40" x14ac:dyDescent="0.2">
      <c r="A18" t="s">
        <v>89</v>
      </c>
      <c r="B18" s="3" t="s">
        <v>259</v>
      </c>
      <c r="C18" s="11">
        <f>'RCA data'!D31</f>
        <v>14</v>
      </c>
      <c r="D18" s="11">
        <f>'RCA data'!E31</f>
        <v>13</v>
      </c>
      <c r="E18" s="11">
        <f>'RCA data'!F31</f>
        <v>13</v>
      </c>
      <c r="F18" s="11">
        <f>'RCA data'!G31</f>
        <v>14</v>
      </c>
      <c r="G18" s="11">
        <f>'RCA data'!H31</f>
        <v>14</v>
      </c>
      <c r="H18" s="11">
        <f>'RCA data'!I31</f>
        <v>13</v>
      </c>
      <c r="I18" s="11">
        <f>'RCA data'!J31</f>
        <v>13</v>
      </c>
      <c r="J18" s="11">
        <f>'RCA data'!K31</f>
        <v>13</v>
      </c>
      <c r="K18" s="135">
        <f>'RCA data'!L31</f>
        <v>13</v>
      </c>
      <c r="L18" s="135">
        <f>'RCA data'!M31</f>
        <v>13</v>
      </c>
      <c r="M18" s="135">
        <f>'RCA data'!N31</f>
        <v>13.6</v>
      </c>
      <c r="N18" s="135">
        <f>'RCA data'!O31</f>
        <v>13.8</v>
      </c>
      <c r="O18" s="135">
        <f>'RCA data'!P31</f>
        <v>14</v>
      </c>
      <c r="P18" s="135">
        <f>'RCA data'!Q31</f>
        <v>14</v>
      </c>
      <c r="Q18" s="135">
        <f>'RCA data'!R31</f>
        <v>13.9</v>
      </c>
      <c r="R18" s="135">
        <f>'RCA data'!S31</f>
        <v>14.1</v>
      </c>
      <c r="S18" s="135">
        <f>'RCA data'!T31</f>
        <v>14.6</v>
      </c>
      <c r="T18" s="135">
        <f>'RCA data'!U31</f>
        <v>14.5</v>
      </c>
      <c r="U18" s="135">
        <f>'RCA data'!V31</f>
        <v>14.4</v>
      </c>
      <c r="V18" s="359">
        <f>'RCA data'!W31</f>
        <v>15.3</v>
      </c>
      <c r="W18" s="89">
        <f>'RCA data'!X31</f>
        <v>15.3</v>
      </c>
      <c r="X18" s="89">
        <f>'RCA data'!Y31</f>
        <v>15.3</v>
      </c>
      <c r="Y18" s="89">
        <f>'RCA data'!Z31</f>
        <v>15.3</v>
      </c>
      <c r="Z18" s="251">
        <f>'RCA data'!AA31</f>
        <v>15.3</v>
      </c>
    </row>
    <row r="19" spans="1:40" s="25" customFormat="1" x14ac:dyDescent="0.2">
      <c r="A19" s="25" t="s">
        <v>104</v>
      </c>
      <c r="B19" s="8" t="s">
        <v>31</v>
      </c>
      <c r="C19" s="26">
        <f t="shared" ref="C19:J19" si="6">C16/C18</f>
        <v>5.73674107142857</v>
      </c>
      <c r="D19" s="26">
        <f t="shared" si="6"/>
        <v>8.3733173076923055</v>
      </c>
      <c r="E19" s="26">
        <f t="shared" si="6"/>
        <v>1.8181730769230784</v>
      </c>
      <c r="F19" s="26">
        <f t="shared" si="6"/>
        <v>5.6445535714285722</v>
      </c>
      <c r="G19" s="26">
        <f t="shared" si="6"/>
        <v>-2.9464285714285716</v>
      </c>
      <c r="H19" s="26">
        <f t="shared" si="6"/>
        <v>1.9801153846153825</v>
      </c>
      <c r="I19" s="26">
        <f t="shared" si="6"/>
        <v>-5.47286173076923</v>
      </c>
      <c r="J19" s="26">
        <f t="shared" si="6"/>
        <v>25.974829980769229</v>
      </c>
      <c r="K19" s="130">
        <f t="shared" ref="K19:X19" si="7">K16/K18</f>
        <v>-1.3826428365384646</v>
      </c>
      <c r="L19" s="130">
        <f t="shared" si="7"/>
        <v>2.6446782307692334</v>
      </c>
      <c r="M19" s="130">
        <f t="shared" si="7"/>
        <v>-2.3149280147058828</v>
      </c>
      <c r="N19" s="130">
        <f t="shared" si="7"/>
        <v>-1.9393691847826087</v>
      </c>
      <c r="O19" s="130">
        <f t="shared" si="7"/>
        <v>2.1580921428571429</v>
      </c>
      <c r="P19" s="130">
        <f t="shared" si="7"/>
        <v>-4.1840657142857163</v>
      </c>
      <c r="Q19" s="130">
        <f t="shared" si="7"/>
        <v>-5.2288547122302118</v>
      </c>
      <c r="R19" s="130">
        <f t="shared" si="7"/>
        <v>0.61713633865248629</v>
      </c>
      <c r="S19" s="130">
        <f t="shared" si="7"/>
        <v>1.8485323630136932</v>
      </c>
      <c r="T19" s="130">
        <f t="shared" si="7"/>
        <v>3.3875120689655205</v>
      </c>
      <c r="U19" s="130">
        <f t="shared" si="7"/>
        <v>1.3241830902777747</v>
      </c>
      <c r="V19" s="354">
        <f t="shared" si="7"/>
        <v>1.4553919934640516</v>
      </c>
      <c r="W19" s="83">
        <f t="shared" si="7"/>
        <v>-2.1382450980393045E-3</v>
      </c>
      <c r="X19" s="83">
        <f t="shared" si="7"/>
        <v>-2.1255537418289876E-3</v>
      </c>
      <c r="Y19" s="83">
        <f t="shared" ref="Y19:Z19" si="8">Y16/Y18</f>
        <v>-2.1115528894590013E-3</v>
      </c>
      <c r="Z19" s="245">
        <f t="shared" si="8"/>
        <v>-2.0961949203403335E-3</v>
      </c>
      <c r="AN19" s="186"/>
    </row>
    <row r="20" spans="1:40" s="25" customFormat="1" x14ac:dyDescent="0.2">
      <c r="B20" s="8"/>
      <c r="C20" s="39"/>
      <c r="D20" s="39"/>
      <c r="E20" s="39"/>
      <c r="F20" s="39"/>
      <c r="G20" s="39"/>
      <c r="H20" s="39"/>
      <c r="I20" s="39"/>
      <c r="J20" s="39"/>
      <c r="K20" s="136"/>
      <c r="L20" s="136"/>
      <c r="M20" s="136"/>
      <c r="N20" s="136"/>
      <c r="O20" s="136"/>
      <c r="P20" s="136"/>
      <c r="Q20" s="136"/>
      <c r="R20" s="136"/>
      <c r="S20" s="136"/>
      <c r="T20" s="136"/>
      <c r="U20" s="136"/>
      <c r="V20" s="361"/>
      <c r="W20" s="90"/>
      <c r="X20" s="90"/>
      <c r="Y20" s="90"/>
      <c r="Z20" s="253"/>
      <c r="AN20" s="186"/>
    </row>
    <row r="21" spans="1:40" s="25" customFormat="1" ht="15" x14ac:dyDescent="0.35">
      <c r="A21" s="40" t="s">
        <v>263</v>
      </c>
      <c r="B21" s="8" t="s">
        <v>31</v>
      </c>
      <c r="C21" s="39">
        <f>SUM($C$16:C16)</f>
        <v>80.314374999999984</v>
      </c>
      <c r="D21" s="39">
        <f>SUM($C$16:D16)</f>
        <v>189.16749999999996</v>
      </c>
      <c r="E21" s="39">
        <f>SUM($C$16:E16)</f>
        <v>212.80374999999998</v>
      </c>
      <c r="F21" s="39">
        <f>SUM($C$16:F16)</f>
        <v>291.82749999999999</v>
      </c>
      <c r="G21" s="39">
        <f>SUM($C$16:G16)</f>
        <v>250.57749999999999</v>
      </c>
      <c r="H21" s="39">
        <f>SUM($C$16:H16)</f>
        <v>276.31899999999996</v>
      </c>
      <c r="I21" s="39">
        <f>SUM($C$16:I16)</f>
        <v>205.17179749999997</v>
      </c>
      <c r="J21" s="39">
        <f>SUM($C$16:J16)</f>
        <v>542.8445872499999</v>
      </c>
      <c r="K21" s="136">
        <f>SUM($C$16:K16)</f>
        <v>524.87023037499989</v>
      </c>
      <c r="L21" s="136">
        <f>SUM($C$16:L16)</f>
        <v>559.25104737499987</v>
      </c>
      <c r="M21" s="136">
        <f>SUM($C$16:M16)</f>
        <v>527.76802637499986</v>
      </c>
      <c r="N21" s="136">
        <f>SUM($C$16:N16)</f>
        <v>501.00473162499986</v>
      </c>
      <c r="O21" s="136">
        <f>SUM($C$16:O16)</f>
        <v>531.21802162499989</v>
      </c>
      <c r="P21" s="136">
        <f>SUM($C$16:P16)</f>
        <v>472.64110162499986</v>
      </c>
      <c r="Q21" s="136">
        <f>SUM($C$16:Q16)</f>
        <v>399.96002112499991</v>
      </c>
      <c r="R21" s="136">
        <f>SUM($C$16:R16)</f>
        <v>408.66164349999997</v>
      </c>
      <c r="S21" s="136">
        <f>SUM($C$16:S16)</f>
        <v>435.65021599999989</v>
      </c>
      <c r="T21" s="136">
        <f>SUM($C$16:T16)</f>
        <v>484.76914099999993</v>
      </c>
      <c r="U21" s="136">
        <f>SUM($C$16:U16)</f>
        <v>503.83737749999989</v>
      </c>
      <c r="V21" s="361">
        <f>SUM($C$16:V16)</f>
        <v>526.10487499999988</v>
      </c>
      <c r="W21" s="90">
        <f>SUM($C$16:W16)</f>
        <v>526.07215984999993</v>
      </c>
      <c r="X21" s="90">
        <f>SUM($C$16:X16)</f>
        <v>526.03963887774989</v>
      </c>
      <c r="Y21" s="90">
        <f>SUM($C$16:Y16)</f>
        <v>526.00733211854117</v>
      </c>
      <c r="Z21" s="253">
        <f>SUM($C$16:Z16)</f>
        <v>525.97526033625991</v>
      </c>
      <c r="AN21" s="186"/>
    </row>
    <row r="22" spans="1:40" x14ac:dyDescent="0.2">
      <c r="A22" t="s">
        <v>88</v>
      </c>
    </row>
    <row r="23" spans="1:40" x14ac:dyDescent="0.2">
      <c r="A23" s="28" t="s">
        <v>264</v>
      </c>
      <c r="AM23" t="s">
        <v>362</v>
      </c>
    </row>
    <row r="24" spans="1:40" x14ac:dyDescent="0.2">
      <c r="A24" t="s">
        <v>96</v>
      </c>
      <c r="B24" t="s">
        <v>66</v>
      </c>
      <c r="C24" s="22">
        <f>ROUND(+$C19,0)</f>
        <v>6</v>
      </c>
      <c r="D24" s="22">
        <f t="shared" ref="D24:L24" si="9">ROUND(+$C19,0)</f>
        <v>6</v>
      </c>
      <c r="E24" s="22">
        <f t="shared" si="9"/>
        <v>6</v>
      </c>
      <c r="F24" s="22">
        <f t="shared" si="9"/>
        <v>6</v>
      </c>
      <c r="G24" s="22">
        <f t="shared" si="9"/>
        <v>6</v>
      </c>
      <c r="H24" s="22">
        <f t="shared" si="9"/>
        <v>6</v>
      </c>
      <c r="I24" s="22">
        <f t="shared" si="9"/>
        <v>6</v>
      </c>
      <c r="J24" s="22">
        <f t="shared" si="9"/>
        <v>6</v>
      </c>
      <c r="K24" s="107">
        <f t="shared" si="9"/>
        <v>6</v>
      </c>
      <c r="L24" s="107">
        <f t="shared" si="9"/>
        <v>6</v>
      </c>
      <c r="M24" s="107">
        <f>ROUND(+$C19,0)-1</f>
        <v>5</v>
      </c>
      <c r="N24" s="107">
        <f>ROUND(+$C19,0)-1</f>
        <v>5</v>
      </c>
      <c r="O24" s="107">
        <f>ROUND(+$C19,0)-1</f>
        <v>5</v>
      </c>
      <c r="P24" s="107">
        <f>ROUND(+$C19,0)-1</f>
        <v>5</v>
      </c>
      <c r="AM24" s="22">
        <f>SUM(C24:AE24)</f>
        <v>80</v>
      </c>
      <c r="AN24" s="189">
        <f>ROUND(C$16,0)-ROUND($AM24,0)</f>
        <v>0</v>
      </c>
    </row>
    <row r="25" spans="1:40" x14ac:dyDescent="0.2">
      <c r="A25" t="s">
        <v>97</v>
      </c>
      <c r="B25" t="s">
        <v>66</v>
      </c>
      <c r="D25" s="22">
        <f>ROUND(+$D19,0)</f>
        <v>8</v>
      </c>
      <c r="E25" s="22">
        <f t="shared" ref="E25:J25" si="10">ROUND(+$D19,0)</f>
        <v>8</v>
      </c>
      <c r="F25" s="22">
        <f t="shared" si="10"/>
        <v>8</v>
      </c>
      <c r="G25" s="22">
        <f t="shared" si="10"/>
        <v>8</v>
      </c>
      <c r="H25" s="22">
        <f t="shared" si="10"/>
        <v>8</v>
      </c>
      <c r="I25" s="22">
        <f t="shared" si="10"/>
        <v>8</v>
      </c>
      <c r="J25" s="22">
        <f t="shared" si="10"/>
        <v>8</v>
      </c>
      <c r="K25" s="107">
        <f>ROUND(+$D19,0)</f>
        <v>8</v>
      </c>
      <c r="L25" s="107">
        <f>ROUND(+$D19,0)+1</f>
        <v>9</v>
      </c>
      <c r="M25" s="107">
        <f>ROUND(+$D19,0)+1</f>
        <v>9</v>
      </c>
      <c r="N25" s="107">
        <f>ROUND(+$D19,0)+1</f>
        <v>9</v>
      </c>
      <c r="O25" s="107">
        <f>ROUND(+$D19,0)+1</f>
        <v>9</v>
      </c>
      <c r="P25" s="107">
        <f>ROUND(+$D19,0)+1</f>
        <v>9</v>
      </c>
      <c r="AM25" s="22">
        <f t="shared" ref="AM25:AM38" si="11">SUM(C25:AE25)</f>
        <v>109</v>
      </c>
      <c r="AN25" s="189">
        <f>ROUND(D$16,0)-ROUND($AM25,0)</f>
        <v>0</v>
      </c>
    </row>
    <row r="26" spans="1:40" x14ac:dyDescent="0.2">
      <c r="A26" t="s">
        <v>98</v>
      </c>
      <c r="B26" t="s">
        <v>66</v>
      </c>
      <c r="E26" s="22">
        <f>ROUND(+$E19,0)</f>
        <v>2</v>
      </c>
      <c r="F26" s="22">
        <f t="shared" ref="F26:O26" si="12">ROUND(+$E19,0)</f>
        <v>2</v>
      </c>
      <c r="G26" s="22">
        <f t="shared" si="12"/>
        <v>2</v>
      </c>
      <c r="H26" s="22">
        <f t="shared" si="12"/>
        <v>2</v>
      </c>
      <c r="I26" s="22">
        <f t="shared" si="12"/>
        <v>2</v>
      </c>
      <c r="J26" s="22">
        <f t="shared" si="12"/>
        <v>2</v>
      </c>
      <c r="K26" s="107">
        <f t="shared" si="12"/>
        <v>2</v>
      </c>
      <c r="L26" s="107">
        <f t="shared" si="12"/>
        <v>2</v>
      </c>
      <c r="M26" s="107">
        <f t="shared" si="12"/>
        <v>2</v>
      </c>
      <c r="N26" s="107">
        <f t="shared" si="12"/>
        <v>2</v>
      </c>
      <c r="O26" s="107">
        <f t="shared" si="12"/>
        <v>2</v>
      </c>
      <c r="P26" s="107">
        <f>ROUND(+$E19,0)-1</f>
        <v>1</v>
      </c>
      <c r="Q26" s="107">
        <f>ROUND(+$E19,0)-1</f>
        <v>1</v>
      </c>
      <c r="AM26" s="22">
        <f t="shared" si="11"/>
        <v>24</v>
      </c>
      <c r="AN26" s="189">
        <f>ROUND(E$16,0)-ROUND($AM26,0)</f>
        <v>0</v>
      </c>
    </row>
    <row r="27" spans="1:40" x14ac:dyDescent="0.2">
      <c r="A27" t="s">
        <v>99</v>
      </c>
      <c r="B27" t="s">
        <v>66</v>
      </c>
      <c r="F27" s="22">
        <f>ROUND(+$F19,0)</f>
        <v>6</v>
      </c>
      <c r="G27" s="22">
        <f t="shared" ref="G27:N27" si="13">ROUND(+$F19,0)</f>
        <v>6</v>
      </c>
      <c r="H27" s="22">
        <f t="shared" si="13"/>
        <v>6</v>
      </c>
      <c r="I27" s="22">
        <f t="shared" si="13"/>
        <v>6</v>
      </c>
      <c r="J27" s="22">
        <f t="shared" si="13"/>
        <v>6</v>
      </c>
      <c r="K27" s="107">
        <f t="shared" si="13"/>
        <v>6</v>
      </c>
      <c r="L27" s="107">
        <f t="shared" si="13"/>
        <v>6</v>
      </c>
      <c r="M27" s="107">
        <f t="shared" si="13"/>
        <v>6</v>
      </c>
      <c r="N27" s="107">
        <f t="shared" si="13"/>
        <v>6</v>
      </c>
      <c r="O27" s="107">
        <f>ROUND(+$F19,0)-1</f>
        <v>5</v>
      </c>
      <c r="P27" s="107">
        <f>ROUND(+$F19,0)-1</f>
        <v>5</v>
      </c>
      <c r="Q27" s="107">
        <f>ROUND(+$F19,0)-1</f>
        <v>5</v>
      </c>
      <c r="R27" s="107">
        <f>ROUND(+$F19,0)-1</f>
        <v>5</v>
      </c>
      <c r="S27" s="107">
        <f>ROUND(+$F19,0)-1</f>
        <v>5</v>
      </c>
      <c r="T27" s="107"/>
      <c r="AM27" s="22">
        <f t="shared" si="11"/>
        <v>79</v>
      </c>
      <c r="AN27" s="189">
        <f>ROUND(F$16,0)-ROUND($AM27,0)</f>
        <v>0</v>
      </c>
    </row>
    <row r="28" spans="1:40" x14ac:dyDescent="0.2">
      <c r="A28" t="s">
        <v>100</v>
      </c>
      <c r="B28" t="s">
        <v>66</v>
      </c>
      <c r="G28" s="22">
        <f>ROUND(+$G19,0)</f>
        <v>-3</v>
      </c>
      <c r="H28" s="22">
        <f t="shared" ref="H28:N28" si="14">ROUND(+$G19,0)</f>
        <v>-3</v>
      </c>
      <c r="I28" s="22">
        <f t="shared" si="14"/>
        <v>-3</v>
      </c>
      <c r="J28" s="22">
        <f t="shared" si="14"/>
        <v>-3</v>
      </c>
      <c r="K28" s="107">
        <f t="shared" si="14"/>
        <v>-3</v>
      </c>
      <c r="L28" s="107">
        <f t="shared" si="14"/>
        <v>-3</v>
      </c>
      <c r="M28" s="107">
        <f t="shared" si="14"/>
        <v>-3</v>
      </c>
      <c r="N28" s="107">
        <f t="shared" si="14"/>
        <v>-3</v>
      </c>
      <c r="O28" s="107">
        <f>ROUND(+$G19,0)</f>
        <v>-3</v>
      </c>
      <c r="P28" s="107">
        <f>ROUND(+$G19,0)</f>
        <v>-3</v>
      </c>
      <c r="Q28" s="107">
        <f>ROUND(+$G19,0)</f>
        <v>-3</v>
      </c>
      <c r="R28" s="107">
        <f>ROUND(+$G19,0)</f>
        <v>-3</v>
      </c>
      <c r="S28" s="107">
        <f>ROUND(+$G19,0)</f>
        <v>-3</v>
      </c>
      <c r="T28" s="107">
        <f>ROUND(+$G19,0)+1</f>
        <v>-2</v>
      </c>
      <c r="AM28" s="22">
        <f t="shared" si="11"/>
        <v>-41</v>
      </c>
      <c r="AN28" s="189">
        <f>ROUND(G$16,0)-ROUND($AM28,0)</f>
        <v>0</v>
      </c>
    </row>
    <row r="29" spans="1:40" x14ac:dyDescent="0.2">
      <c r="A29" t="s">
        <v>101</v>
      </c>
      <c r="B29" t="s">
        <v>66</v>
      </c>
      <c r="H29" s="22">
        <f>ROUND(+$H19,0)</f>
        <v>2</v>
      </c>
      <c r="I29" s="22">
        <f t="shared" ref="I29:S29" si="15">ROUND(+$H19,0)</f>
        <v>2</v>
      </c>
      <c r="J29" s="22">
        <f t="shared" si="15"/>
        <v>2</v>
      </c>
      <c r="K29" s="107">
        <f t="shared" si="15"/>
        <v>2</v>
      </c>
      <c r="L29" s="107">
        <f t="shared" si="15"/>
        <v>2</v>
      </c>
      <c r="M29" s="107">
        <f t="shared" si="15"/>
        <v>2</v>
      </c>
      <c r="N29" s="107">
        <f t="shared" si="15"/>
        <v>2</v>
      </c>
      <c r="O29" s="107">
        <f t="shared" si="15"/>
        <v>2</v>
      </c>
      <c r="P29" s="107">
        <f t="shared" si="15"/>
        <v>2</v>
      </c>
      <c r="Q29" s="107">
        <f t="shared" si="15"/>
        <v>2</v>
      </c>
      <c r="R29" s="107">
        <f t="shared" si="15"/>
        <v>2</v>
      </c>
      <c r="S29" s="107">
        <f t="shared" si="15"/>
        <v>2</v>
      </c>
      <c r="T29" s="107">
        <f>ROUND(+$H19,0)</f>
        <v>2</v>
      </c>
      <c r="AM29" s="22">
        <f t="shared" si="11"/>
        <v>26</v>
      </c>
      <c r="AN29" s="189">
        <f>ROUND(H$16,0)-ROUND($AM29,0)</f>
        <v>0</v>
      </c>
    </row>
    <row r="30" spans="1:40" x14ac:dyDescent="0.2">
      <c r="A30" t="s">
        <v>102</v>
      </c>
      <c r="B30" t="s">
        <v>66</v>
      </c>
      <c r="I30" s="22">
        <f>ROUND(+$I19,0)-1</f>
        <v>-6</v>
      </c>
      <c r="J30" s="22">
        <f>ROUND(+$I19,0)-1</f>
        <v>-6</v>
      </c>
      <c r="K30" s="107">
        <f>ROUND(+$I19,0)-1</f>
        <v>-6</v>
      </c>
      <c r="L30" s="107">
        <f>ROUND(+$I19,0)-1</f>
        <v>-6</v>
      </c>
      <c r="M30" s="107">
        <f>ROUND(+$I19,0)-1</f>
        <v>-6</v>
      </c>
      <c r="N30" s="107">
        <f t="shared" ref="N30:T30" si="16">ROUND(+$I19,0)</f>
        <v>-5</v>
      </c>
      <c r="O30" s="107">
        <f t="shared" si="16"/>
        <v>-5</v>
      </c>
      <c r="P30" s="107">
        <f t="shared" si="16"/>
        <v>-5</v>
      </c>
      <c r="Q30" s="107">
        <f t="shared" si="16"/>
        <v>-5</v>
      </c>
      <c r="R30" s="107">
        <f t="shared" si="16"/>
        <v>-5</v>
      </c>
      <c r="S30" s="107">
        <f t="shared" si="16"/>
        <v>-5</v>
      </c>
      <c r="T30" s="107">
        <f t="shared" si="16"/>
        <v>-5</v>
      </c>
      <c r="U30" s="107">
        <f>ROUND(+$I19,0)-1</f>
        <v>-6</v>
      </c>
      <c r="V30" s="356"/>
      <c r="W30" s="85"/>
      <c r="X30" s="85"/>
      <c r="Y30" s="85"/>
      <c r="Z30" s="247"/>
      <c r="AA30" s="22"/>
      <c r="AB30" s="22"/>
      <c r="AC30" s="22"/>
      <c r="AD30" s="22"/>
      <c r="AE30" s="22"/>
      <c r="AM30" s="22">
        <f t="shared" si="11"/>
        <v>-71</v>
      </c>
      <c r="AN30" s="189">
        <f>ROUND(I$16,0)-ROUND($AM30,0)</f>
        <v>0</v>
      </c>
    </row>
    <row r="31" spans="1:40" x14ac:dyDescent="0.2">
      <c r="A31" t="s">
        <v>308</v>
      </c>
      <c r="B31" t="s">
        <v>66</v>
      </c>
      <c r="I31" s="22"/>
      <c r="J31" s="22">
        <f>ROUND(+$J19,0)</f>
        <v>26</v>
      </c>
      <c r="K31" s="107">
        <f t="shared" ref="K31:V31" si="17">ROUND(+$J19,0)</f>
        <v>26</v>
      </c>
      <c r="L31" s="107">
        <f t="shared" si="17"/>
        <v>26</v>
      </c>
      <c r="M31" s="107">
        <f t="shared" si="17"/>
        <v>26</v>
      </c>
      <c r="N31" s="107">
        <f t="shared" si="17"/>
        <v>26</v>
      </c>
      <c r="O31" s="107">
        <f t="shared" si="17"/>
        <v>26</v>
      </c>
      <c r="P31" s="107">
        <f t="shared" si="17"/>
        <v>26</v>
      </c>
      <c r="Q31" s="107">
        <f t="shared" si="17"/>
        <v>26</v>
      </c>
      <c r="R31" s="107">
        <f t="shared" si="17"/>
        <v>26</v>
      </c>
      <c r="S31" s="107">
        <f t="shared" si="17"/>
        <v>26</v>
      </c>
      <c r="T31" s="107">
        <f t="shared" si="17"/>
        <v>26</v>
      </c>
      <c r="U31" s="107">
        <f t="shared" si="17"/>
        <v>26</v>
      </c>
      <c r="V31" s="356">
        <f t="shared" si="17"/>
        <v>26</v>
      </c>
      <c r="W31" s="85"/>
      <c r="X31" s="85"/>
      <c r="Y31" s="85"/>
      <c r="Z31" s="247"/>
      <c r="AA31" s="22"/>
      <c r="AB31" s="22"/>
      <c r="AC31" s="22"/>
      <c r="AD31" s="22"/>
      <c r="AE31" s="22"/>
      <c r="AM31" s="22">
        <f t="shared" si="11"/>
        <v>338</v>
      </c>
      <c r="AN31" s="189">
        <f>ROUND(J$16,0)-ROUND($AM31,0)</f>
        <v>0</v>
      </c>
    </row>
    <row r="32" spans="1:40" x14ac:dyDescent="0.2">
      <c r="A32" t="s">
        <v>310</v>
      </c>
      <c r="B32" t="s">
        <v>66</v>
      </c>
      <c r="I32" s="22"/>
      <c r="J32" s="22"/>
      <c r="K32" s="107">
        <f>ROUND(+$K19,0)</f>
        <v>-1</v>
      </c>
      <c r="L32" s="107">
        <f t="shared" ref="L32:R32" si="18">ROUND(+$K19,0)</f>
        <v>-1</v>
      </c>
      <c r="M32" s="107">
        <f t="shared" si="18"/>
        <v>-1</v>
      </c>
      <c r="N32" s="107">
        <f t="shared" si="18"/>
        <v>-1</v>
      </c>
      <c r="O32" s="107">
        <f t="shared" si="18"/>
        <v>-1</v>
      </c>
      <c r="P32" s="107">
        <f t="shared" si="18"/>
        <v>-1</v>
      </c>
      <c r="Q32" s="107">
        <f t="shared" si="18"/>
        <v>-1</v>
      </c>
      <c r="R32" s="107">
        <f t="shared" si="18"/>
        <v>-1</v>
      </c>
      <c r="S32" s="107">
        <f>ROUND(+$K19,0)-1</f>
        <v>-2</v>
      </c>
      <c r="T32" s="107">
        <f>ROUND(+$K19,0)-1</f>
        <v>-2</v>
      </c>
      <c r="U32" s="107">
        <f>ROUND(+$K19,0)-1</f>
        <v>-2</v>
      </c>
      <c r="V32" s="356">
        <f>ROUND(+$K19,0)-1</f>
        <v>-2</v>
      </c>
      <c r="W32" s="85">
        <f>ROUND(+$K19,0)-1</f>
        <v>-2</v>
      </c>
      <c r="X32" s="85"/>
      <c r="Y32" s="85"/>
      <c r="Z32" s="247"/>
      <c r="AA32" s="107"/>
      <c r="AB32" s="107"/>
      <c r="AC32" s="107"/>
      <c r="AD32" s="22"/>
      <c r="AE32" s="22"/>
      <c r="AM32" s="22">
        <f t="shared" si="11"/>
        <v>-18</v>
      </c>
      <c r="AN32" s="189">
        <f>ROUND(K$16,0)-ROUND($AM32,0)</f>
        <v>0</v>
      </c>
    </row>
    <row r="33" spans="1:40" x14ac:dyDescent="0.2">
      <c r="A33" t="s">
        <v>311</v>
      </c>
      <c r="B33" t="s">
        <v>66</v>
      </c>
      <c r="I33" s="22"/>
      <c r="J33" s="22"/>
      <c r="K33" s="107"/>
      <c r="L33" s="107"/>
      <c r="M33" s="107">
        <f>ROUND(+$L19,0)</f>
        <v>3</v>
      </c>
      <c r="N33" s="107">
        <f t="shared" ref="N33:T33" si="19">ROUND(+$L19,0)</f>
        <v>3</v>
      </c>
      <c r="O33" s="107">
        <f t="shared" si="19"/>
        <v>3</v>
      </c>
      <c r="P33" s="107">
        <f t="shared" si="19"/>
        <v>3</v>
      </c>
      <c r="Q33" s="107">
        <f t="shared" si="19"/>
        <v>3</v>
      </c>
      <c r="R33" s="107">
        <f t="shared" si="19"/>
        <v>3</v>
      </c>
      <c r="S33" s="107">
        <f t="shared" si="19"/>
        <v>3</v>
      </c>
      <c r="T33" s="107">
        <f t="shared" si="19"/>
        <v>3</v>
      </c>
      <c r="U33" s="107">
        <f>ROUND(+$L19,0)-1</f>
        <v>2</v>
      </c>
      <c r="V33" s="356">
        <f>ROUND(+$L19,0)-1</f>
        <v>2</v>
      </c>
      <c r="W33" s="85">
        <f>ROUND(+$L19,0)-1</f>
        <v>2</v>
      </c>
      <c r="X33" s="85">
        <f>ROUND(+$L19,0)-1</f>
        <v>2</v>
      </c>
      <c r="Y33" s="85">
        <f>ROUND(+$L19,0)-1</f>
        <v>2</v>
      </c>
      <c r="Z33" s="247"/>
      <c r="AA33" s="107"/>
      <c r="AB33" s="107"/>
      <c r="AC33" s="107"/>
      <c r="AD33" s="22"/>
      <c r="AE33" s="22"/>
      <c r="AM33" s="22">
        <f t="shared" si="11"/>
        <v>34</v>
      </c>
      <c r="AN33" s="189">
        <f>ROUND(L$16,0)-ROUND($AM33,0)</f>
        <v>0</v>
      </c>
    </row>
    <row r="34" spans="1:40" s="116" customFormat="1" x14ac:dyDescent="0.2">
      <c r="A34" s="116" t="s">
        <v>312</v>
      </c>
      <c r="B34" s="116" t="s">
        <v>66</v>
      </c>
      <c r="I34" s="107"/>
      <c r="J34" s="107"/>
      <c r="K34" s="107"/>
      <c r="L34" s="107"/>
      <c r="M34" s="107"/>
      <c r="N34" s="107">
        <f>ROUND(+$M19,0)</f>
        <v>-2</v>
      </c>
      <c r="O34" s="107">
        <f t="shared" ref="O34:X34" si="20">ROUND(+$M19,0)</f>
        <v>-2</v>
      </c>
      <c r="P34" s="107">
        <f t="shared" si="20"/>
        <v>-2</v>
      </c>
      <c r="Q34" s="107">
        <f t="shared" si="20"/>
        <v>-2</v>
      </c>
      <c r="R34" s="107">
        <f t="shared" si="20"/>
        <v>-2</v>
      </c>
      <c r="S34" s="107">
        <f t="shared" si="20"/>
        <v>-2</v>
      </c>
      <c r="T34" s="107">
        <f t="shared" si="20"/>
        <v>-2</v>
      </c>
      <c r="U34" s="107">
        <f t="shared" si="20"/>
        <v>-2</v>
      </c>
      <c r="V34" s="356">
        <f t="shared" si="20"/>
        <v>-2</v>
      </c>
      <c r="W34" s="85">
        <f t="shared" si="20"/>
        <v>-2</v>
      </c>
      <c r="X34" s="85">
        <f t="shared" si="20"/>
        <v>-2</v>
      </c>
      <c r="Y34" s="85">
        <f>ROUND(+$M19,0)-1</f>
        <v>-3</v>
      </c>
      <c r="Z34" s="247">
        <f>ROUND(+$M19,0)-1</f>
        <v>-3</v>
      </c>
      <c r="AA34" s="107">
        <f>ROUND(+$M19,0)-1</f>
        <v>-3</v>
      </c>
      <c r="AB34" s="107"/>
      <c r="AC34" s="107"/>
      <c r="AD34" s="107"/>
      <c r="AE34" s="107"/>
      <c r="AM34" s="22">
        <f t="shared" si="11"/>
        <v>-31</v>
      </c>
      <c r="AN34" s="189">
        <f>ROUND(M$16,0)-ROUND($AM34,0)</f>
        <v>0</v>
      </c>
    </row>
    <row r="35" spans="1:40" s="116" customFormat="1" x14ac:dyDescent="0.2">
      <c r="A35" s="116" t="s">
        <v>313</v>
      </c>
      <c r="B35" s="116" t="s">
        <v>66</v>
      </c>
      <c r="I35" s="107"/>
      <c r="J35" s="107"/>
      <c r="K35" s="107"/>
      <c r="L35" s="107"/>
      <c r="M35" s="107"/>
      <c r="N35" s="107"/>
      <c r="O35" s="107">
        <f>ROUND(+$N19,0)</f>
        <v>-2</v>
      </c>
      <c r="P35" s="107">
        <f t="shared" ref="P35:AA35" si="21">ROUND(+$N19,0)</f>
        <v>-2</v>
      </c>
      <c r="Q35" s="107">
        <f t="shared" si="21"/>
        <v>-2</v>
      </c>
      <c r="R35" s="107">
        <f t="shared" si="21"/>
        <v>-2</v>
      </c>
      <c r="S35" s="107">
        <f t="shared" si="21"/>
        <v>-2</v>
      </c>
      <c r="T35" s="107">
        <f t="shared" si="21"/>
        <v>-2</v>
      </c>
      <c r="U35" s="107">
        <f t="shared" si="21"/>
        <v>-2</v>
      </c>
      <c r="V35" s="356">
        <f t="shared" si="21"/>
        <v>-2</v>
      </c>
      <c r="W35" s="85">
        <f t="shared" si="21"/>
        <v>-2</v>
      </c>
      <c r="X35" s="85">
        <f t="shared" si="21"/>
        <v>-2</v>
      </c>
      <c r="Y35" s="85">
        <f t="shared" si="21"/>
        <v>-2</v>
      </c>
      <c r="Z35" s="247">
        <f t="shared" si="21"/>
        <v>-2</v>
      </c>
      <c r="AA35" s="107">
        <f t="shared" si="21"/>
        <v>-2</v>
      </c>
      <c r="AB35" s="107">
        <f>ROUND(+$N19,0)+1</f>
        <v>-1</v>
      </c>
      <c r="AC35" s="107"/>
      <c r="AD35" s="107"/>
      <c r="AE35" s="107"/>
      <c r="AM35" s="22">
        <f t="shared" si="11"/>
        <v>-27</v>
      </c>
      <c r="AN35" s="189">
        <f>ROUND(N$16,0)-ROUND($AM35,0)</f>
        <v>0</v>
      </c>
    </row>
    <row r="36" spans="1:40" s="116" customFormat="1" x14ac:dyDescent="0.2">
      <c r="A36" s="116" t="s">
        <v>314</v>
      </c>
      <c r="B36" s="116" t="s">
        <v>66</v>
      </c>
      <c r="I36" s="107"/>
      <c r="J36" s="107"/>
      <c r="K36" s="107"/>
      <c r="L36" s="107"/>
      <c r="M36" s="107"/>
      <c r="N36" s="107"/>
      <c r="O36" s="107"/>
      <c r="P36" s="107">
        <f t="shared" ref="P36:AB36" si="22">ROUND(+$O19,0)</f>
        <v>2</v>
      </c>
      <c r="Q36" s="107">
        <f t="shared" si="22"/>
        <v>2</v>
      </c>
      <c r="R36" s="107">
        <f t="shared" si="22"/>
        <v>2</v>
      </c>
      <c r="S36" s="107">
        <f t="shared" si="22"/>
        <v>2</v>
      </c>
      <c r="T36" s="107">
        <f t="shared" si="22"/>
        <v>2</v>
      </c>
      <c r="U36" s="107">
        <f t="shared" si="22"/>
        <v>2</v>
      </c>
      <c r="V36" s="356">
        <f t="shared" si="22"/>
        <v>2</v>
      </c>
      <c r="W36" s="85">
        <f t="shared" si="22"/>
        <v>2</v>
      </c>
      <c r="X36" s="85">
        <f t="shared" si="22"/>
        <v>2</v>
      </c>
      <c r="Y36" s="85">
        <f t="shared" si="22"/>
        <v>2</v>
      </c>
      <c r="Z36" s="247">
        <f t="shared" si="22"/>
        <v>2</v>
      </c>
      <c r="AA36" s="107">
        <f t="shared" si="22"/>
        <v>2</v>
      </c>
      <c r="AB36" s="107">
        <f t="shared" si="22"/>
        <v>2</v>
      </c>
      <c r="AC36" s="107">
        <f>ROUND(+$O19,0)+2</f>
        <v>4</v>
      </c>
      <c r="AD36" s="107"/>
      <c r="AE36" s="107"/>
      <c r="AM36" s="22">
        <f t="shared" si="11"/>
        <v>30</v>
      </c>
      <c r="AN36" s="189">
        <f>ROUND(O$16,0)-ROUND($AM36,0)</f>
        <v>0</v>
      </c>
    </row>
    <row r="37" spans="1:40" s="116" customFormat="1" x14ac:dyDescent="0.2">
      <c r="A37" s="116" t="s">
        <v>329</v>
      </c>
      <c r="B37" s="116" t="s">
        <v>66</v>
      </c>
      <c r="I37" s="107"/>
      <c r="J37" s="107"/>
      <c r="K37" s="107"/>
      <c r="L37" s="107"/>
      <c r="M37" s="107"/>
      <c r="N37" s="107"/>
      <c r="O37" s="107"/>
      <c r="P37" s="107"/>
      <c r="Q37" s="107">
        <f>ROUND(+$P19,0)</f>
        <v>-4</v>
      </c>
      <c r="R37" s="107">
        <f t="shared" ref="R37:AC37" si="23">ROUND(+$P19,0)</f>
        <v>-4</v>
      </c>
      <c r="S37" s="107">
        <f t="shared" si="23"/>
        <v>-4</v>
      </c>
      <c r="T37" s="107">
        <f t="shared" si="23"/>
        <v>-4</v>
      </c>
      <c r="U37" s="107">
        <f t="shared" si="23"/>
        <v>-4</v>
      </c>
      <c r="V37" s="356">
        <f t="shared" si="23"/>
        <v>-4</v>
      </c>
      <c r="W37" s="85">
        <f t="shared" si="23"/>
        <v>-4</v>
      </c>
      <c r="X37" s="85">
        <f t="shared" si="23"/>
        <v>-4</v>
      </c>
      <c r="Y37" s="85">
        <f t="shared" si="23"/>
        <v>-4</v>
      </c>
      <c r="Z37" s="247">
        <f t="shared" si="23"/>
        <v>-4</v>
      </c>
      <c r="AA37" s="107">
        <f t="shared" si="23"/>
        <v>-4</v>
      </c>
      <c r="AB37" s="107">
        <f t="shared" si="23"/>
        <v>-4</v>
      </c>
      <c r="AC37" s="107">
        <f t="shared" si="23"/>
        <v>-4</v>
      </c>
      <c r="AD37" s="107">
        <f>ROUND(+$P19,0)-3</f>
        <v>-7</v>
      </c>
      <c r="AE37" s="107"/>
      <c r="AM37" s="22">
        <f t="shared" si="11"/>
        <v>-59</v>
      </c>
      <c r="AN37" s="189">
        <f>ROUND(P$16,0)-ROUND($AM37,0)</f>
        <v>0</v>
      </c>
    </row>
    <row r="38" spans="1:40" s="116" customFormat="1" x14ac:dyDescent="0.2">
      <c r="A38" s="196" t="s">
        <v>332</v>
      </c>
      <c r="B38" s="196" t="s">
        <v>66</v>
      </c>
      <c r="I38" s="107"/>
      <c r="J38" s="107"/>
      <c r="K38" s="107"/>
      <c r="L38" s="107"/>
      <c r="M38" s="107"/>
      <c r="N38" s="107"/>
      <c r="O38" s="107"/>
      <c r="P38" s="107"/>
      <c r="Q38" s="107"/>
      <c r="R38" s="107">
        <f>ROUND($Q19,0)</f>
        <v>-5</v>
      </c>
      <c r="S38" s="107">
        <f t="shared" ref="S38:AB38" si="24">ROUND($Q19,0)</f>
        <v>-5</v>
      </c>
      <c r="T38" s="107">
        <f t="shared" si="24"/>
        <v>-5</v>
      </c>
      <c r="U38" s="107">
        <f t="shared" si="24"/>
        <v>-5</v>
      </c>
      <c r="V38" s="356">
        <f t="shared" si="24"/>
        <v>-5</v>
      </c>
      <c r="W38" s="85">
        <f t="shared" si="24"/>
        <v>-5</v>
      </c>
      <c r="X38" s="85">
        <f t="shared" si="24"/>
        <v>-5</v>
      </c>
      <c r="Y38" s="85">
        <f t="shared" si="24"/>
        <v>-5</v>
      </c>
      <c r="Z38" s="247">
        <f t="shared" si="24"/>
        <v>-5</v>
      </c>
      <c r="AA38" s="107">
        <f t="shared" si="24"/>
        <v>-5</v>
      </c>
      <c r="AB38" s="107">
        <f t="shared" si="24"/>
        <v>-5</v>
      </c>
      <c r="AC38" s="320">
        <f>ROUND($Q19,0)-1</f>
        <v>-6</v>
      </c>
      <c r="AD38" s="320">
        <f>ROUND($Q19,0)-1</f>
        <v>-6</v>
      </c>
      <c r="AE38" s="320">
        <f>ROUND($Q19,0)-1</f>
        <v>-6</v>
      </c>
      <c r="AM38" s="22">
        <f t="shared" si="11"/>
        <v>-73</v>
      </c>
      <c r="AN38" s="189">
        <f>ROUND(Q$16,0)-ROUND($AM38,0)</f>
        <v>0</v>
      </c>
    </row>
    <row r="39" spans="1:40" s="116" customFormat="1" x14ac:dyDescent="0.2">
      <c r="A39" s="196" t="s">
        <v>336</v>
      </c>
      <c r="B39" s="196" t="s">
        <v>66</v>
      </c>
      <c r="I39" s="107"/>
      <c r="J39" s="107"/>
      <c r="K39" s="107"/>
      <c r="L39" s="107"/>
      <c r="M39" s="107"/>
      <c r="N39" s="107"/>
      <c r="O39" s="107"/>
      <c r="P39" s="107"/>
      <c r="Q39" s="107"/>
      <c r="R39" s="107"/>
      <c r="S39" s="107">
        <f>ROUND($R$19,0)</f>
        <v>1</v>
      </c>
      <c r="T39" s="107">
        <f t="shared" ref="T39:AA39" si="25">ROUND($R$19,0)</f>
        <v>1</v>
      </c>
      <c r="U39" s="107">
        <f t="shared" si="25"/>
        <v>1</v>
      </c>
      <c r="V39" s="356">
        <f t="shared" si="25"/>
        <v>1</v>
      </c>
      <c r="W39" s="85">
        <f t="shared" si="25"/>
        <v>1</v>
      </c>
      <c r="X39" s="85">
        <f t="shared" si="25"/>
        <v>1</v>
      </c>
      <c r="Y39" s="85">
        <f t="shared" si="25"/>
        <v>1</v>
      </c>
      <c r="Z39" s="247">
        <f t="shared" si="25"/>
        <v>1</v>
      </c>
      <c r="AA39" s="107">
        <f t="shared" si="25"/>
        <v>1</v>
      </c>
      <c r="AB39" s="320">
        <f>ROUND($R$19,0)-1</f>
        <v>0</v>
      </c>
      <c r="AC39" s="320">
        <f>ROUND($R$19,0)-1</f>
        <v>0</v>
      </c>
      <c r="AD39" s="320">
        <f>ROUND($R$19,0)-1</f>
        <v>0</v>
      </c>
      <c r="AE39" s="320">
        <f>ROUND($R$19,0)-1</f>
        <v>0</v>
      </c>
      <c r="AF39" s="320">
        <f>ROUND($R$19,0)-1</f>
        <v>0</v>
      </c>
      <c r="AG39" s="107"/>
      <c r="AH39" s="107"/>
      <c r="AI39" s="107"/>
      <c r="AJ39" s="107"/>
      <c r="AK39" s="107"/>
      <c r="AL39" s="107"/>
      <c r="AM39" s="107">
        <f>SUM(O39:AG39)</f>
        <v>9</v>
      </c>
      <c r="AN39" s="189">
        <f>ROUND($AM$39,0)-ROUND($R$16,0)</f>
        <v>0</v>
      </c>
    </row>
    <row r="40" spans="1:40" s="116" customFormat="1" x14ac:dyDescent="0.2">
      <c r="A40" s="310" t="s">
        <v>350</v>
      </c>
      <c r="B40" s="196" t="s">
        <v>66</v>
      </c>
      <c r="I40" s="107"/>
      <c r="J40" s="107"/>
      <c r="K40" s="107"/>
      <c r="L40" s="107"/>
      <c r="M40" s="107"/>
      <c r="N40" s="107"/>
      <c r="O40" s="107"/>
      <c r="P40" s="107"/>
      <c r="Q40" s="107"/>
      <c r="R40" s="107"/>
      <c r="S40" s="107"/>
      <c r="T40" s="107">
        <f>ROUND($S$19,0)</f>
        <v>2</v>
      </c>
      <c r="U40" s="107">
        <f t="shared" ref="U40:AF40" si="26">ROUND($S$19,0)</f>
        <v>2</v>
      </c>
      <c r="V40" s="356">
        <f t="shared" si="26"/>
        <v>2</v>
      </c>
      <c r="W40" s="85">
        <f t="shared" si="26"/>
        <v>2</v>
      </c>
      <c r="X40" s="85">
        <f t="shared" si="26"/>
        <v>2</v>
      </c>
      <c r="Y40" s="85">
        <f t="shared" si="26"/>
        <v>2</v>
      </c>
      <c r="Z40" s="247">
        <f t="shared" si="26"/>
        <v>2</v>
      </c>
      <c r="AA40" s="107">
        <f t="shared" si="26"/>
        <v>2</v>
      </c>
      <c r="AB40" s="107">
        <f t="shared" si="26"/>
        <v>2</v>
      </c>
      <c r="AC40" s="107">
        <f t="shared" si="26"/>
        <v>2</v>
      </c>
      <c r="AD40" s="107">
        <f t="shared" si="26"/>
        <v>2</v>
      </c>
      <c r="AE40" s="107">
        <f t="shared" si="26"/>
        <v>2</v>
      </c>
      <c r="AF40" s="107">
        <f t="shared" si="26"/>
        <v>2</v>
      </c>
      <c r="AG40" s="320">
        <f>ROUND($S$19,0)-1</f>
        <v>1</v>
      </c>
      <c r="AH40" s="107"/>
      <c r="AI40" s="107"/>
      <c r="AJ40" s="107"/>
      <c r="AK40" s="107"/>
      <c r="AL40" s="107"/>
      <c r="AM40" s="107">
        <f>SUM(O40:AG40)</f>
        <v>27</v>
      </c>
      <c r="AN40" s="189">
        <f>ROUND($AM40,0)-ROUND(S$16,0)</f>
        <v>0</v>
      </c>
    </row>
    <row r="41" spans="1:40" s="116" customFormat="1" x14ac:dyDescent="0.2">
      <c r="A41" s="196" t="s">
        <v>355</v>
      </c>
      <c r="B41" s="196" t="s">
        <v>66</v>
      </c>
      <c r="I41" s="107"/>
      <c r="J41" s="107"/>
      <c r="K41" s="107"/>
      <c r="L41" s="107"/>
      <c r="M41" s="107"/>
      <c r="N41" s="107"/>
      <c r="O41" s="107"/>
      <c r="P41" s="107"/>
      <c r="Q41" s="107"/>
      <c r="R41" s="107"/>
      <c r="S41" s="107"/>
      <c r="T41" s="107"/>
      <c r="U41" s="395">
        <f t="shared" ref="U41:AA41" si="27">ROUND($T$19,0)+1</f>
        <v>4</v>
      </c>
      <c r="V41" s="392">
        <f t="shared" si="27"/>
        <v>4</v>
      </c>
      <c r="W41" s="393">
        <f t="shared" si="27"/>
        <v>4</v>
      </c>
      <c r="X41" s="393">
        <f t="shared" si="27"/>
        <v>4</v>
      </c>
      <c r="Y41" s="393">
        <f t="shared" si="27"/>
        <v>4</v>
      </c>
      <c r="Z41" s="394">
        <f t="shared" si="27"/>
        <v>4</v>
      </c>
      <c r="AA41" s="395">
        <f t="shared" si="27"/>
        <v>4</v>
      </c>
      <c r="AB41" s="107">
        <f t="shared" ref="AB41:AH41" si="28">ROUND($T$19,0)</f>
        <v>3</v>
      </c>
      <c r="AC41" s="107">
        <f t="shared" si="28"/>
        <v>3</v>
      </c>
      <c r="AD41" s="107">
        <f t="shared" si="28"/>
        <v>3</v>
      </c>
      <c r="AE41" s="107">
        <f t="shared" si="28"/>
        <v>3</v>
      </c>
      <c r="AF41" s="107">
        <f t="shared" si="28"/>
        <v>3</v>
      </c>
      <c r="AG41" s="107">
        <f t="shared" si="28"/>
        <v>3</v>
      </c>
      <c r="AH41" s="107">
        <f t="shared" si="28"/>
        <v>3</v>
      </c>
      <c r="AI41" s="107"/>
      <c r="AJ41" s="107"/>
      <c r="AK41" s="107"/>
      <c r="AL41" s="107"/>
      <c r="AM41" s="107">
        <f>SUM(O41:AH41)</f>
        <v>49</v>
      </c>
      <c r="AN41" s="189">
        <f>ROUND($AM41,0)-ROUND(T$16,0)</f>
        <v>0</v>
      </c>
    </row>
    <row r="42" spans="1:40" s="116" customFormat="1" x14ac:dyDescent="0.2">
      <c r="A42" s="473" t="s">
        <v>358</v>
      </c>
      <c r="B42" s="196" t="s">
        <v>66</v>
      </c>
      <c r="I42" s="107"/>
      <c r="J42" s="107"/>
      <c r="K42" s="107"/>
      <c r="L42" s="107"/>
      <c r="M42" s="107"/>
      <c r="N42" s="107"/>
      <c r="O42" s="107"/>
      <c r="P42" s="107"/>
      <c r="Q42" s="107"/>
      <c r="R42" s="107"/>
      <c r="S42" s="107"/>
      <c r="T42" s="107"/>
      <c r="U42" s="107"/>
      <c r="V42" s="356">
        <f>ROUND($U$19,0)+1</f>
        <v>2</v>
      </c>
      <c r="W42" s="414">
        <f t="shared" ref="W42:AA42" si="29">ROUND($U$19,0)+1</f>
        <v>2</v>
      </c>
      <c r="X42" s="414">
        <f t="shared" si="29"/>
        <v>2</v>
      </c>
      <c r="Y42" s="414">
        <f t="shared" si="29"/>
        <v>2</v>
      </c>
      <c r="Z42" s="415">
        <f t="shared" si="29"/>
        <v>2</v>
      </c>
      <c r="AA42" s="416">
        <f t="shared" si="29"/>
        <v>2</v>
      </c>
      <c r="AB42" s="107">
        <f t="shared" ref="AB42:AG42" si="30">ROUND($U$19,0)</f>
        <v>1</v>
      </c>
      <c r="AC42" s="107">
        <f t="shared" si="30"/>
        <v>1</v>
      </c>
      <c r="AD42" s="107">
        <f t="shared" si="30"/>
        <v>1</v>
      </c>
      <c r="AE42" s="107">
        <f t="shared" si="30"/>
        <v>1</v>
      </c>
      <c r="AF42" s="107">
        <f t="shared" si="30"/>
        <v>1</v>
      </c>
      <c r="AG42" s="107">
        <f t="shared" si="30"/>
        <v>1</v>
      </c>
      <c r="AH42" s="107">
        <f>ROUND($U$19,0)</f>
        <v>1</v>
      </c>
      <c r="AI42" s="107">
        <f>ROUND($U$19,0)</f>
        <v>1</v>
      </c>
      <c r="AJ42" s="107"/>
      <c r="AK42" s="107"/>
      <c r="AL42" s="107"/>
      <c r="AM42" s="107">
        <f>SUM(O42:AH42)</f>
        <v>19</v>
      </c>
      <c r="AN42" s="189">
        <f>ROUND($AM42,0)-ROUND(U$16,0)</f>
        <v>0</v>
      </c>
    </row>
    <row r="43" spans="1:40" s="116" customFormat="1" x14ac:dyDescent="0.2">
      <c r="A43" s="297" t="s">
        <v>363</v>
      </c>
      <c r="B43" s="196"/>
      <c r="I43" s="107"/>
      <c r="J43" s="107"/>
      <c r="K43" s="107"/>
      <c r="L43" s="107"/>
      <c r="M43" s="107"/>
      <c r="N43" s="107"/>
      <c r="O43" s="107"/>
      <c r="P43" s="107"/>
      <c r="Q43" s="107"/>
      <c r="R43" s="107"/>
      <c r="S43" s="107"/>
      <c r="T43" s="107"/>
      <c r="U43" s="107"/>
      <c r="V43" s="356"/>
      <c r="W43" s="414">
        <f t="shared" ref="W43:AC43" si="31">ROUND($V$19,0)+1</f>
        <v>2</v>
      </c>
      <c r="X43" s="414">
        <f t="shared" si="31"/>
        <v>2</v>
      </c>
      <c r="Y43" s="414">
        <f t="shared" si="31"/>
        <v>2</v>
      </c>
      <c r="Z43" s="415">
        <f t="shared" si="31"/>
        <v>2</v>
      </c>
      <c r="AA43" s="416">
        <f t="shared" si="31"/>
        <v>2</v>
      </c>
      <c r="AB43" s="107">
        <f t="shared" si="31"/>
        <v>2</v>
      </c>
      <c r="AC43" s="107">
        <f t="shared" si="31"/>
        <v>2</v>
      </c>
      <c r="AD43" s="107">
        <f t="shared" ref="AD43:AK43" si="32">ROUND($V$19,0)</f>
        <v>1</v>
      </c>
      <c r="AE43" s="107">
        <f t="shared" si="32"/>
        <v>1</v>
      </c>
      <c r="AF43" s="107">
        <f t="shared" si="32"/>
        <v>1</v>
      </c>
      <c r="AG43" s="107">
        <f t="shared" si="32"/>
        <v>1</v>
      </c>
      <c r="AH43" s="107">
        <f t="shared" si="32"/>
        <v>1</v>
      </c>
      <c r="AI43" s="107">
        <f t="shared" si="32"/>
        <v>1</v>
      </c>
      <c r="AJ43" s="107">
        <f t="shared" si="32"/>
        <v>1</v>
      </c>
      <c r="AK43" s="107">
        <f t="shared" si="32"/>
        <v>1</v>
      </c>
      <c r="AL43" s="107">
        <f>ROUND($V$19,0)*0.3</f>
        <v>0.3</v>
      </c>
      <c r="AM43" s="107">
        <f>SUM(O43:AL43)</f>
        <v>22.3</v>
      </c>
      <c r="AN43" s="189">
        <f>ROUND($AM43,0)-ROUND(V$16,0)</f>
        <v>0</v>
      </c>
    </row>
    <row r="44" spans="1:40" s="31" customFormat="1" x14ac:dyDescent="0.2">
      <c r="A44" s="31" t="s">
        <v>90</v>
      </c>
      <c r="B44" s="31" t="s">
        <v>31</v>
      </c>
      <c r="C44" s="37">
        <f>SUM(C24:C41)</f>
        <v>6</v>
      </c>
      <c r="D44" s="37">
        <f t="shared" ref="D44:T44" si="33">SUM(D24:D41)</f>
        <v>14</v>
      </c>
      <c r="E44" s="37">
        <f t="shared" si="33"/>
        <v>16</v>
      </c>
      <c r="F44" s="37">
        <f t="shared" si="33"/>
        <v>22</v>
      </c>
      <c r="G44" s="37">
        <f t="shared" si="33"/>
        <v>19</v>
      </c>
      <c r="H44" s="37">
        <f t="shared" si="33"/>
        <v>21</v>
      </c>
      <c r="I44" s="37">
        <f t="shared" si="33"/>
        <v>15</v>
      </c>
      <c r="J44" s="37">
        <f t="shared" si="33"/>
        <v>41</v>
      </c>
      <c r="K44" s="37">
        <f t="shared" si="33"/>
        <v>40</v>
      </c>
      <c r="L44" s="37">
        <f t="shared" si="33"/>
        <v>41</v>
      </c>
      <c r="M44" s="37">
        <f t="shared" si="33"/>
        <v>43</v>
      </c>
      <c r="N44" s="37">
        <f t="shared" si="33"/>
        <v>42</v>
      </c>
      <c r="O44" s="37">
        <f t="shared" si="33"/>
        <v>39</v>
      </c>
      <c r="P44" s="37">
        <f t="shared" si="33"/>
        <v>40</v>
      </c>
      <c r="Q44" s="37">
        <f t="shared" si="33"/>
        <v>22</v>
      </c>
      <c r="R44" s="137">
        <f t="shared" si="33"/>
        <v>16</v>
      </c>
      <c r="S44" s="137">
        <f t="shared" si="33"/>
        <v>16</v>
      </c>
      <c r="T44" s="137">
        <f t="shared" si="33"/>
        <v>14</v>
      </c>
      <c r="U44" s="137">
        <f>SUM(U24:U42)</f>
        <v>16</v>
      </c>
      <c r="V44" s="362">
        <f t="shared" ref="V44" si="34">SUM(V24:V42)</f>
        <v>24</v>
      </c>
      <c r="W44" s="91">
        <f>SUM(W24:W43)</f>
        <v>0</v>
      </c>
      <c r="X44" s="91">
        <f t="shared" ref="X44:AI44" si="35">SUM(X24:X43)</f>
        <v>2</v>
      </c>
      <c r="Y44" s="91">
        <f t="shared" si="35"/>
        <v>1</v>
      </c>
      <c r="Z44" s="254">
        <f t="shared" si="35"/>
        <v>-1</v>
      </c>
      <c r="AA44" s="37">
        <f t="shared" si="35"/>
        <v>-1</v>
      </c>
      <c r="AB44" s="37">
        <f t="shared" si="35"/>
        <v>0</v>
      </c>
      <c r="AC44" s="37">
        <f t="shared" si="35"/>
        <v>2</v>
      </c>
      <c r="AD44" s="37">
        <f t="shared" si="35"/>
        <v>-6</v>
      </c>
      <c r="AE44" s="37">
        <f t="shared" si="35"/>
        <v>1</v>
      </c>
      <c r="AF44" s="37">
        <f t="shared" si="35"/>
        <v>7</v>
      </c>
      <c r="AG44" s="37">
        <f t="shared" si="35"/>
        <v>6</v>
      </c>
      <c r="AH44" s="37">
        <f t="shared" si="35"/>
        <v>5</v>
      </c>
      <c r="AI44" s="37">
        <f t="shared" si="35"/>
        <v>2</v>
      </c>
      <c r="AJ44" s="37">
        <f>SUM(AJ24:AJ43)</f>
        <v>1</v>
      </c>
      <c r="AK44" s="37">
        <f>SUM(AK24:AK43)</f>
        <v>1</v>
      </c>
      <c r="AL44" s="37">
        <f>SUM(AL24:AL43)</f>
        <v>0.3</v>
      </c>
      <c r="AM44" s="37">
        <f t="shared" ref="AM44" si="36">SUM(AM24:AM42)</f>
        <v>504</v>
      </c>
      <c r="AN44" s="37">
        <f t="shared" ref="AN44" si="37">SUM(AN24:AN42)</f>
        <v>0</v>
      </c>
    </row>
    <row r="46" spans="1:40" s="3" customFormat="1" ht="15" x14ac:dyDescent="0.35">
      <c r="A46" s="41" t="s">
        <v>268</v>
      </c>
      <c r="C46" s="3">
        <f>'RCA data'!D14</f>
        <v>0</v>
      </c>
      <c r="D46" s="3">
        <f>'RCA data'!E14</f>
        <v>0</v>
      </c>
      <c r="E46" s="3">
        <f>'RCA data'!F14</f>
        <v>0</v>
      </c>
      <c r="F46" s="3">
        <f>'RCA data'!G14</f>
        <v>0</v>
      </c>
      <c r="G46" s="3">
        <f>'RCA data'!H14</f>
        <v>0</v>
      </c>
      <c r="H46" s="3">
        <f>'RCA data'!I14</f>
        <v>39</v>
      </c>
      <c r="I46" s="3">
        <f>'RCA data'!J14</f>
        <v>0</v>
      </c>
      <c r="J46" s="3">
        <f>'RCA data'!K14</f>
        <v>0</v>
      </c>
      <c r="K46" s="3">
        <f>'RCA data'!L14</f>
        <v>0</v>
      </c>
      <c r="L46" s="3">
        <f>'RCA data'!M14</f>
        <v>0</v>
      </c>
      <c r="M46" s="122">
        <f>'RCA data'!N14</f>
        <v>0</v>
      </c>
      <c r="N46" s="122">
        <f>'RCA data'!O14</f>
        <v>0</v>
      </c>
      <c r="O46" s="122">
        <f>'RCA data'!P14</f>
        <v>0</v>
      </c>
      <c r="P46" s="122">
        <f>'RCA data'!Q14</f>
        <v>0</v>
      </c>
      <c r="Q46" s="122">
        <f>'RCA data'!R14</f>
        <v>0</v>
      </c>
      <c r="R46" s="122">
        <f>'RCA data'!S14</f>
        <v>0</v>
      </c>
      <c r="S46" s="122">
        <f>'RCA data'!T14</f>
        <v>0</v>
      </c>
      <c r="T46" s="122">
        <f>'RCA data'!U14</f>
        <v>0</v>
      </c>
      <c r="U46" s="122"/>
      <c r="V46" s="352"/>
      <c r="W46" s="79"/>
      <c r="X46" s="79"/>
      <c r="Y46" s="79"/>
      <c r="Z46" s="241"/>
      <c r="AN46" s="179"/>
    </row>
    <row r="48" spans="1:40" x14ac:dyDescent="0.2">
      <c r="A48" s="28" t="s">
        <v>269</v>
      </c>
    </row>
    <row r="49" spans="1:40" s="3" customFormat="1" x14ac:dyDescent="0.2">
      <c r="A49" s="3" t="s">
        <v>134</v>
      </c>
      <c r="B49" s="3" t="s">
        <v>267</v>
      </c>
      <c r="H49" s="3">
        <f>'RCA amend'!C16</f>
        <v>-5</v>
      </c>
      <c r="I49" s="3">
        <f>'RCA amend'!D16</f>
        <v>-5</v>
      </c>
      <c r="J49" s="3">
        <f>'RCA amend'!E16</f>
        <v>-5</v>
      </c>
      <c r="K49" s="122">
        <f>'RCA amend'!F16</f>
        <v>-4</v>
      </c>
      <c r="L49" s="122">
        <f>'RCA amend'!G16</f>
        <v>-4</v>
      </c>
      <c r="M49" s="122">
        <f>'RCA amend'!H16</f>
        <v>-4</v>
      </c>
      <c r="N49" s="122">
        <f>'RCA amend'!I16</f>
        <v>-4</v>
      </c>
      <c r="O49" s="122">
        <f>'RCA amend'!J16</f>
        <v>-4</v>
      </c>
      <c r="P49" s="122">
        <f>'RCA amend'!K16</f>
        <v>-4</v>
      </c>
      <c r="Q49" s="122"/>
      <c r="R49" s="122"/>
      <c r="S49" s="122"/>
      <c r="T49" s="122"/>
      <c r="U49" s="122"/>
      <c r="V49" s="352"/>
      <c r="W49" s="79"/>
      <c r="X49" s="79"/>
      <c r="Y49" s="79"/>
      <c r="Z49" s="241"/>
      <c r="AN49" s="179"/>
    </row>
    <row r="50" spans="1:40" s="3" customFormat="1" x14ac:dyDescent="0.2">
      <c r="C50" s="6"/>
      <c r="D50" s="6"/>
      <c r="E50" s="6"/>
      <c r="F50" s="6"/>
      <c r="G50" s="6"/>
      <c r="H50" s="6"/>
      <c r="I50" s="6"/>
      <c r="J50" s="6"/>
      <c r="K50" s="126"/>
      <c r="L50" s="126"/>
      <c r="M50" s="126"/>
      <c r="N50" s="126"/>
      <c r="O50" s="126"/>
      <c r="P50" s="126"/>
      <c r="Q50" s="126"/>
      <c r="R50" s="126"/>
      <c r="S50" s="126"/>
      <c r="T50" s="126"/>
      <c r="U50" s="122"/>
      <c r="V50" s="352"/>
      <c r="W50" s="79"/>
      <c r="X50" s="79"/>
      <c r="Y50" s="79"/>
      <c r="Z50" s="241"/>
      <c r="AN50" s="179"/>
    </row>
    <row r="51" spans="1:40" s="25" customFormat="1" x14ac:dyDescent="0.2">
      <c r="A51" s="25" t="s">
        <v>270</v>
      </c>
      <c r="B51" s="25" t="s">
        <v>31</v>
      </c>
      <c r="C51" s="26">
        <f t="shared" ref="C51:U51" si="38">SUM(C49:C50)</f>
        <v>0</v>
      </c>
      <c r="D51" s="26">
        <f t="shared" si="38"/>
        <v>0</v>
      </c>
      <c r="E51" s="26">
        <f t="shared" si="38"/>
        <v>0</v>
      </c>
      <c r="F51" s="26">
        <f t="shared" si="38"/>
        <v>0</v>
      </c>
      <c r="G51" s="26">
        <f t="shared" si="38"/>
        <v>0</v>
      </c>
      <c r="H51" s="26">
        <f t="shared" si="38"/>
        <v>-5</v>
      </c>
      <c r="I51" s="26">
        <f t="shared" si="38"/>
        <v>-5</v>
      </c>
      <c r="J51" s="26">
        <f t="shared" si="38"/>
        <v>-5</v>
      </c>
      <c r="K51" s="130">
        <f t="shared" si="38"/>
        <v>-4</v>
      </c>
      <c r="L51" s="130">
        <f t="shared" si="38"/>
        <v>-4</v>
      </c>
      <c r="M51" s="130">
        <f t="shared" si="38"/>
        <v>-4</v>
      </c>
      <c r="N51" s="130">
        <f t="shared" si="38"/>
        <v>-4</v>
      </c>
      <c r="O51" s="130">
        <f t="shared" si="38"/>
        <v>-4</v>
      </c>
      <c r="P51" s="130">
        <f t="shared" si="38"/>
        <v>-4</v>
      </c>
      <c r="Q51" s="130">
        <f t="shared" si="38"/>
        <v>0</v>
      </c>
      <c r="R51" s="130">
        <f t="shared" si="38"/>
        <v>0</v>
      </c>
      <c r="S51" s="130">
        <f t="shared" si="38"/>
        <v>0</v>
      </c>
      <c r="T51" s="130">
        <f t="shared" si="38"/>
        <v>0</v>
      </c>
      <c r="U51" s="130">
        <f t="shared" si="38"/>
        <v>0</v>
      </c>
      <c r="V51" s="354">
        <f t="shared" ref="V51:AH51" si="39">SUM(V49:V50)</f>
        <v>0</v>
      </c>
      <c r="W51" s="83">
        <f t="shared" si="39"/>
        <v>0</v>
      </c>
      <c r="X51" s="83">
        <f t="shared" si="39"/>
        <v>0</v>
      </c>
      <c r="Y51" s="83">
        <f t="shared" si="39"/>
        <v>0</v>
      </c>
      <c r="Z51" s="245">
        <f t="shared" si="39"/>
        <v>0</v>
      </c>
      <c r="AA51" s="26">
        <f t="shared" si="39"/>
        <v>0</v>
      </c>
      <c r="AB51" s="26">
        <f t="shared" si="39"/>
        <v>0</v>
      </c>
      <c r="AC51" s="26">
        <f t="shared" si="39"/>
        <v>0</v>
      </c>
      <c r="AD51" s="26">
        <f t="shared" si="39"/>
        <v>0</v>
      </c>
      <c r="AE51" s="26">
        <f t="shared" si="39"/>
        <v>0</v>
      </c>
      <c r="AF51" s="26">
        <f t="shared" si="39"/>
        <v>0</v>
      </c>
      <c r="AG51" s="26">
        <f t="shared" si="39"/>
        <v>0</v>
      </c>
      <c r="AH51" s="26">
        <f t="shared" si="39"/>
        <v>0</v>
      </c>
      <c r="AN51" s="186"/>
    </row>
    <row r="53" spans="1:40" x14ac:dyDescent="0.2">
      <c r="A53" s="28" t="s">
        <v>271</v>
      </c>
    </row>
    <row r="54" spans="1:40" x14ac:dyDescent="0.2">
      <c r="A54" t="s">
        <v>272</v>
      </c>
      <c r="B54" t="s">
        <v>66</v>
      </c>
      <c r="C54" s="22">
        <f t="shared" ref="C54:T54" si="40">+C44</f>
        <v>6</v>
      </c>
      <c r="D54" s="22">
        <f t="shared" si="40"/>
        <v>14</v>
      </c>
      <c r="E54" s="22">
        <f t="shared" si="40"/>
        <v>16</v>
      </c>
      <c r="F54" s="22">
        <f t="shared" si="40"/>
        <v>22</v>
      </c>
      <c r="G54" s="22">
        <f t="shared" si="40"/>
        <v>19</v>
      </c>
      <c r="H54" s="22">
        <f t="shared" si="40"/>
        <v>21</v>
      </c>
      <c r="I54" s="22">
        <f t="shared" si="40"/>
        <v>15</v>
      </c>
      <c r="J54" s="22">
        <f t="shared" si="40"/>
        <v>41</v>
      </c>
      <c r="K54" s="107">
        <f t="shared" si="40"/>
        <v>40</v>
      </c>
      <c r="L54" s="107">
        <f t="shared" si="40"/>
        <v>41</v>
      </c>
      <c r="M54" s="107">
        <f t="shared" si="40"/>
        <v>43</v>
      </c>
      <c r="N54" s="107">
        <f t="shared" si="40"/>
        <v>42</v>
      </c>
      <c r="O54" s="107">
        <f t="shared" si="40"/>
        <v>39</v>
      </c>
      <c r="P54" s="107">
        <f t="shared" si="40"/>
        <v>40</v>
      </c>
      <c r="Q54" s="107">
        <f t="shared" si="40"/>
        <v>22</v>
      </c>
      <c r="R54" s="107">
        <f t="shared" si="40"/>
        <v>16</v>
      </c>
      <c r="S54" s="107">
        <f t="shared" si="40"/>
        <v>16</v>
      </c>
      <c r="T54" s="107">
        <f t="shared" si="40"/>
        <v>14</v>
      </c>
      <c r="U54" s="107">
        <f t="shared" ref="U54:AA54" si="41">+U44</f>
        <v>16</v>
      </c>
      <c r="V54" s="356">
        <f t="shared" si="41"/>
        <v>24</v>
      </c>
      <c r="W54" s="85">
        <f t="shared" si="41"/>
        <v>0</v>
      </c>
      <c r="X54" s="85">
        <f t="shared" si="41"/>
        <v>2</v>
      </c>
      <c r="Y54" s="85">
        <f t="shared" si="41"/>
        <v>1</v>
      </c>
      <c r="Z54" s="247">
        <f t="shared" si="41"/>
        <v>-1</v>
      </c>
      <c r="AA54" s="22">
        <f t="shared" si="41"/>
        <v>-1</v>
      </c>
      <c r="AB54" s="22">
        <f>+AB44</f>
        <v>0</v>
      </c>
      <c r="AC54" s="22">
        <f>+AC44</f>
        <v>2</v>
      </c>
      <c r="AD54" s="22">
        <f>+AD44</f>
        <v>-6</v>
      </c>
      <c r="AE54" s="22">
        <f t="shared" ref="AE54:AH54" si="42">+AE44</f>
        <v>1</v>
      </c>
      <c r="AF54" s="22">
        <f t="shared" si="42"/>
        <v>7</v>
      </c>
      <c r="AG54" s="22">
        <f t="shared" si="42"/>
        <v>6</v>
      </c>
      <c r="AH54" s="22">
        <f t="shared" si="42"/>
        <v>5</v>
      </c>
    </row>
    <row r="55" spans="1:40" x14ac:dyDescent="0.2">
      <c r="A55" t="s">
        <v>273</v>
      </c>
      <c r="B55" t="s">
        <v>66</v>
      </c>
      <c r="C55" s="38">
        <f t="shared" ref="C55:T55" si="43">+C51</f>
        <v>0</v>
      </c>
      <c r="D55" s="38">
        <f t="shared" si="43"/>
        <v>0</v>
      </c>
      <c r="E55" s="38">
        <f t="shared" si="43"/>
        <v>0</v>
      </c>
      <c r="F55" s="38">
        <f t="shared" si="43"/>
        <v>0</v>
      </c>
      <c r="G55" s="38">
        <f t="shared" si="43"/>
        <v>0</v>
      </c>
      <c r="H55" s="38">
        <f t="shared" si="43"/>
        <v>-5</v>
      </c>
      <c r="I55" s="38">
        <f t="shared" si="43"/>
        <v>-5</v>
      </c>
      <c r="J55" s="38">
        <f t="shared" si="43"/>
        <v>-5</v>
      </c>
      <c r="K55" s="138">
        <f t="shared" si="43"/>
        <v>-4</v>
      </c>
      <c r="L55" s="138">
        <f t="shared" si="43"/>
        <v>-4</v>
      </c>
      <c r="M55" s="138">
        <f t="shared" si="43"/>
        <v>-4</v>
      </c>
      <c r="N55" s="138">
        <f t="shared" si="43"/>
        <v>-4</v>
      </c>
      <c r="O55" s="138">
        <f t="shared" si="43"/>
        <v>-4</v>
      </c>
      <c r="P55" s="138">
        <f t="shared" si="43"/>
        <v>-4</v>
      </c>
      <c r="Q55" s="138">
        <f t="shared" si="43"/>
        <v>0</v>
      </c>
      <c r="R55" s="138">
        <f t="shared" si="43"/>
        <v>0</v>
      </c>
      <c r="S55" s="138">
        <f t="shared" si="43"/>
        <v>0</v>
      </c>
      <c r="T55" s="138">
        <f t="shared" si="43"/>
        <v>0</v>
      </c>
      <c r="U55" s="138">
        <f t="shared" ref="U55:AA55" si="44">+U51</f>
        <v>0</v>
      </c>
      <c r="V55" s="363">
        <f t="shared" si="44"/>
        <v>0</v>
      </c>
      <c r="W55" s="92">
        <f t="shared" si="44"/>
        <v>0</v>
      </c>
      <c r="X55" s="92">
        <f t="shared" si="44"/>
        <v>0</v>
      </c>
      <c r="Y55" s="92">
        <f t="shared" si="44"/>
        <v>0</v>
      </c>
      <c r="Z55" s="255">
        <f t="shared" si="44"/>
        <v>0</v>
      </c>
      <c r="AA55" s="38">
        <f t="shared" si="44"/>
        <v>0</v>
      </c>
      <c r="AB55" s="38">
        <f>+AB51</f>
        <v>0</v>
      </c>
      <c r="AC55" s="38">
        <f>+AC51</f>
        <v>0</v>
      </c>
      <c r="AD55" s="38">
        <f>+AD51</f>
        <v>0</v>
      </c>
      <c r="AE55" s="38">
        <f t="shared" ref="AE55:AH55" si="45">+AE51</f>
        <v>0</v>
      </c>
      <c r="AF55" s="38">
        <f t="shared" si="45"/>
        <v>0</v>
      </c>
      <c r="AG55" s="38">
        <f t="shared" si="45"/>
        <v>0</v>
      </c>
      <c r="AH55" s="38">
        <f t="shared" si="45"/>
        <v>0</v>
      </c>
    </row>
    <row r="56" spans="1:40" s="18" customFormat="1" ht="16.5" thickBot="1" x14ac:dyDescent="0.3">
      <c r="A56" s="18" t="s">
        <v>136</v>
      </c>
      <c r="C56" s="27">
        <f t="shared" ref="C56:U56" si="46">SUM(C54:C55)</f>
        <v>6</v>
      </c>
      <c r="D56" s="27">
        <f t="shared" si="46"/>
        <v>14</v>
      </c>
      <c r="E56" s="27">
        <f t="shared" si="46"/>
        <v>16</v>
      </c>
      <c r="F56" s="27">
        <f t="shared" si="46"/>
        <v>22</v>
      </c>
      <c r="G56" s="27">
        <f t="shared" si="46"/>
        <v>19</v>
      </c>
      <c r="H56" s="27">
        <f t="shared" si="46"/>
        <v>16</v>
      </c>
      <c r="I56" s="27">
        <f t="shared" si="46"/>
        <v>10</v>
      </c>
      <c r="J56" s="27">
        <f t="shared" si="46"/>
        <v>36</v>
      </c>
      <c r="K56" s="139">
        <f t="shared" si="46"/>
        <v>36</v>
      </c>
      <c r="L56" s="139">
        <f t="shared" si="46"/>
        <v>37</v>
      </c>
      <c r="M56" s="139">
        <f t="shared" si="46"/>
        <v>39</v>
      </c>
      <c r="N56" s="139">
        <f t="shared" si="46"/>
        <v>38</v>
      </c>
      <c r="O56" s="139">
        <f t="shared" si="46"/>
        <v>35</v>
      </c>
      <c r="P56" s="139">
        <f t="shared" si="46"/>
        <v>36</v>
      </c>
      <c r="Q56" s="139">
        <f t="shared" si="46"/>
        <v>22</v>
      </c>
      <c r="R56" s="139">
        <f t="shared" si="46"/>
        <v>16</v>
      </c>
      <c r="S56" s="139">
        <f t="shared" si="46"/>
        <v>16</v>
      </c>
      <c r="T56" s="139">
        <f t="shared" si="46"/>
        <v>14</v>
      </c>
      <c r="U56" s="139">
        <f t="shared" si="46"/>
        <v>16</v>
      </c>
      <c r="V56" s="364">
        <f t="shared" ref="V56:AH56" si="47">SUM(V54:V55)</f>
        <v>24</v>
      </c>
      <c r="W56" s="93">
        <f t="shared" si="47"/>
        <v>0</v>
      </c>
      <c r="X56" s="93">
        <f t="shared" si="47"/>
        <v>2</v>
      </c>
      <c r="Y56" s="93">
        <f t="shared" si="47"/>
        <v>1</v>
      </c>
      <c r="Z56" s="256">
        <f t="shared" si="47"/>
        <v>-1</v>
      </c>
      <c r="AA56" s="27">
        <f t="shared" si="47"/>
        <v>-1</v>
      </c>
      <c r="AB56" s="27">
        <f t="shared" si="47"/>
        <v>0</v>
      </c>
      <c r="AC56" s="27">
        <f t="shared" si="47"/>
        <v>2</v>
      </c>
      <c r="AD56" s="27">
        <f t="shared" si="47"/>
        <v>-6</v>
      </c>
      <c r="AE56" s="27">
        <f t="shared" si="47"/>
        <v>1</v>
      </c>
      <c r="AF56" s="27">
        <f t="shared" si="47"/>
        <v>7</v>
      </c>
      <c r="AG56" s="27">
        <f t="shared" si="47"/>
        <v>6</v>
      </c>
      <c r="AH56" s="27">
        <f t="shared" si="47"/>
        <v>5</v>
      </c>
      <c r="AN56" s="178"/>
    </row>
    <row r="57" spans="1:40" ht="13.5" thickTop="1" x14ac:dyDescent="0.2"/>
    <row r="59" spans="1:40" x14ac:dyDescent="0.2">
      <c r="A59" s="28" t="s">
        <v>274</v>
      </c>
    </row>
    <row r="60" spans="1:40" x14ac:dyDescent="0.2">
      <c r="A60" t="s">
        <v>275</v>
      </c>
      <c r="C60" s="22">
        <f t="shared" ref="C60:H60" si="48">+C21</f>
        <v>80.314374999999984</v>
      </c>
      <c r="D60" s="22">
        <f t="shared" si="48"/>
        <v>189.16749999999996</v>
      </c>
      <c r="E60" s="22">
        <f t="shared" si="48"/>
        <v>212.80374999999998</v>
      </c>
      <c r="F60" s="22">
        <f t="shared" si="48"/>
        <v>291.82749999999999</v>
      </c>
      <c r="G60" s="22">
        <f t="shared" si="48"/>
        <v>250.57749999999999</v>
      </c>
      <c r="H60" s="22">
        <f t="shared" si="48"/>
        <v>276.31899999999996</v>
      </c>
      <c r="I60" s="22">
        <f t="shared" ref="I60:N60" si="49">+I21</f>
        <v>205.17179749999997</v>
      </c>
      <c r="J60" s="22">
        <f t="shared" si="49"/>
        <v>542.8445872499999</v>
      </c>
      <c r="K60" s="107">
        <f t="shared" si="49"/>
        <v>524.87023037499989</v>
      </c>
      <c r="L60" s="107">
        <f t="shared" si="49"/>
        <v>559.25104737499987</v>
      </c>
      <c r="M60" s="107">
        <f t="shared" si="49"/>
        <v>527.76802637499986</v>
      </c>
      <c r="N60" s="107">
        <f t="shared" si="49"/>
        <v>501.00473162499986</v>
      </c>
      <c r="O60" s="107">
        <f t="shared" ref="O60:T60" si="50">+O21</f>
        <v>531.21802162499989</v>
      </c>
      <c r="P60" s="107">
        <f t="shared" si="50"/>
        <v>472.64110162499986</v>
      </c>
      <c r="Q60" s="107">
        <f t="shared" si="50"/>
        <v>399.96002112499991</v>
      </c>
      <c r="R60" s="107">
        <f t="shared" si="50"/>
        <v>408.66164349999997</v>
      </c>
      <c r="S60" s="107">
        <f t="shared" si="50"/>
        <v>435.65021599999989</v>
      </c>
      <c r="T60" s="107">
        <f t="shared" si="50"/>
        <v>484.76914099999993</v>
      </c>
      <c r="U60" s="107">
        <f t="shared" ref="U60:Z60" si="51">+U21</f>
        <v>503.83737749999989</v>
      </c>
      <c r="V60" s="356">
        <f t="shared" si="51"/>
        <v>526.10487499999988</v>
      </c>
      <c r="W60" s="85">
        <f t="shared" si="51"/>
        <v>526.07215984999993</v>
      </c>
      <c r="X60" s="85">
        <f t="shared" si="51"/>
        <v>526.03963887774989</v>
      </c>
      <c r="Y60" s="85">
        <f t="shared" si="51"/>
        <v>526.00733211854117</v>
      </c>
      <c r="Z60" s="247">
        <f t="shared" si="51"/>
        <v>525.97526033625991</v>
      </c>
    </row>
    <row r="61" spans="1:40" x14ac:dyDescent="0.2">
      <c r="A61" t="s">
        <v>149</v>
      </c>
      <c r="C61" s="22">
        <f>-SUM($C$44:C44)</f>
        <v>-6</v>
      </c>
      <c r="D61" s="22">
        <f>-SUM($C$44:D44)</f>
        <v>-20</v>
      </c>
      <c r="E61" s="22">
        <f>-SUM($C$44:E44)</f>
        <v>-36</v>
      </c>
      <c r="F61" s="22">
        <f>-SUM($C$44:F44)</f>
        <v>-58</v>
      </c>
      <c r="G61" s="22">
        <f>-SUM($C$44:G44)+1</f>
        <v>-76</v>
      </c>
      <c r="H61" s="22">
        <f>-SUM($C$44:H44)+2</f>
        <v>-96</v>
      </c>
      <c r="I61" s="22">
        <f>-SUM($C$44:I44)+1</f>
        <v>-112</v>
      </c>
      <c r="J61" s="22">
        <f>-SUM($C$44:J44)+1</f>
        <v>-153</v>
      </c>
      <c r="K61" s="107">
        <f>-SUM($C$44:K44)+1</f>
        <v>-193</v>
      </c>
      <c r="L61" s="107">
        <f>-SUM($C$44:L44)+1</f>
        <v>-234</v>
      </c>
      <c r="M61" s="107">
        <f>-SUM($C$44:M44)+1</f>
        <v>-277</v>
      </c>
      <c r="N61" s="107">
        <f>-SUM($C$44:N44)+1</f>
        <v>-319</v>
      </c>
      <c r="O61" s="107">
        <f>-SUM($C$44:O44)+1</f>
        <v>-358</v>
      </c>
      <c r="P61" s="107">
        <f>-SUM($C$44:P44)+1</f>
        <v>-398</v>
      </c>
      <c r="Q61" s="107">
        <f>-SUM($C$44:Q44)+1</f>
        <v>-420</v>
      </c>
      <c r="R61" s="107">
        <f>-SUM($C$44:R44)+1</f>
        <v>-436</v>
      </c>
      <c r="S61" s="107">
        <f>-SUM($C$44:S44)+1</f>
        <v>-452</v>
      </c>
      <c r="T61" s="107">
        <f>-SUM($C$44:T44)+1</f>
        <v>-466</v>
      </c>
      <c r="U61" s="107">
        <f>-SUM($C$44:U44)+1</f>
        <v>-482</v>
      </c>
      <c r="V61" s="356">
        <f>-SUM($C$44:V44)+1</f>
        <v>-506</v>
      </c>
      <c r="W61" s="85">
        <f>-SUM($C$44:W44)+1</f>
        <v>-506</v>
      </c>
      <c r="X61" s="85">
        <f>-SUM($C$44:X44)+1</f>
        <v>-508</v>
      </c>
      <c r="Y61" s="85">
        <f>-SUM($C$44:Y44)+1</f>
        <v>-509</v>
      </c>
      <c r="Z61" s="247">
        <f>-SUM($C$44:Z44)+1</f>
        <v>-508</v>
      </c>
    </row>
    <row r="62" spans="1:40" x14ac:dyDescent="0.2">
      <c r="A62" t="s">
        <v>150</v>
      </c>
      <c r="C62" s="22">
        <f>-SUM($C$46:C46)</f>
        <v>0</v>
      </c>
      <c r="D62" s="22">
        <f>-SUM($C$46:D46)</f>
        <v>0</v>
      </c>
      <c r="E62" s="22">
        <f>-SUM($C$46:E46)</f>
        <v>0</v>
      </c>
      <c r="F62" s="22">
        <f>-SUM($C$46:F46)</f>
        <v>0</v>
      </c>
      <c r="G62" s="22">
        <f>-SUM($C$46:G46)</f>
        <v>0</v>
      </c>
      <c r="H62" s="22">
        <f>-SUM($C$46:H46)</f>
        <v>-39</v>
      </c>
      <c r="I62" s="22">
        <f>-SUM($C$46:I46)+1</f>
        <v>-38</v>
      </c>
      <c r="J62" s="22">
        <f>-SUM($C$46:J46)+1</f>
        <v>-38</v>
      </c>
      <c r="K62" s="107">
        <f>-SUM($C$46:K46)+1</f>
        <v>-38</v>
      </c>
      <c r="L62" s="107">
        <f>-SUM($C$46:L46)+1</f>
        <v>-38</v>
      </c>
      <c r="M62" s="107">
        <f>-SUM($C$46:M46)+1</f>
        <v>-38</v>
      </c>
      <c r="N62" s="107">
        <f>-SUM($C$46:N46)+1</f>
        <v>-38</v>
      </c>
      <c r="O62" s="107">
        <f>-SUM($C$46:O46)+1</f>
        <v>-38</v>
      </c>
      <c r="P62" s="107">
        <f>-SUM($C$46:P46)+1</f>
        <v>-38</v>
      </c>
      <c r="Q62" s="107">
        <f>-SUM($C$46:Q46)+1</f>
        <v>-38</v>
      </c>
      <c r="R62" s="107">
        <f>-SUM($C$46:R46)+1</f>
        <v>-38</v>
      </c>
      <c r="S62" s="107">
        <f>-SUM($C$46:S46)+1</f>
        <v>-38</v>
      </c>
      <c r="T62" s="107">
        <f>-SUM($C$46:T46)+1</f>
        <v>-38</v>
      </c>
      <c r="U62" s="107">
        <f>-SUM($C$46:U46)+1</f>
        <v>-38</v>
      </c>
      <c r="V62" s="356">
        <f>-SUM($C$46:V46)+1</f>
        <v>-38</v>
      </c>
      <c r="W62" s="85">
        <f>-SUM($C$46:W46)+1</f>
        <v>-38</v>
      </c>
      <c r="X62" s="85">
        <f>-SUM($C$46:X46)+1</f>
        <v>-38</v>
      </c>
      <c r="Y62" s="85">
        <f>-SUM($C$46:Y46)+1</f>
        <v>-38</v>
      </c>
      <c r="Z62" s="247">
        <f>-SUM($C$46:Z46)+1</f>
        <v>-38</v>
      </c>
    </row>
    <row r="63" spans="1:40" x14ac:dyDescent="0.2">
      <c r="A63" t="s">
        <v>151</v>
      </c>
      <c r="C63" s="38">
        <f>-SUM($C$51:C51)</f>
        <v>0</v>
      </c>
      <c r="D63" s="38">
        <f>-SUM($C$51:D51)</f>
        <v>0</v>
      </c>
      <c r="E63" s="38">
        <f>-SUM($C$51:E51)</f>
        <v>0</v>
      </c>
      <c r="F63" s="38">
        <f>-SUM($C$51:F51)</f>
        <v>0</v>
      </c>
      <c r="G63" s="38">
        <f>-SUM($C$51:G51)</f>
        <v>0</v>
      </c>
      <c r="H63" s="38">
        <f>-SUM($C$51:H51)</f>
        <v>5</v>
      </c>
      <c r="I63" s="38">
        <f>-SUM($C$51:I51)</f>
        <v>10</v>
      </c>
      <c r="J63" s="38">
        <f>-SUM($C$51:J51)</f>
        <v>15</v>
      </c>
      <c r="K63" s="138">
        <f>-SUM($C$51:K51)</f>
        <v>19</v>
      </c>
      <c r="L63" s="138">
        <f>-SUM($C$51:L51)</f>
        <v>23</v>
      </c>
      <c r="M63" s="138">
        <f>-SUM($C$51:M51)</f>
        <v>27</v>
      </c>
      <c r="N63" s="138">
        <f>-SUM($C$51:N51)</f>
        <v>31</v>
      </c>
      <c r="O63" s="138">
        <f>-SUM($C$51:O51)</f>
        <v>35</v>
      </c>
      <c r="P63" s="138">
        <f>-SUM($C$51:P51)</f>
        <v>39</v>
      </c>
      <c r="Q63" s="138">
        <f>-SUM($C$51:Q51)</f>
        <v>39</v>
      </c>
      <c r="R63" s="138">
        <f>-SUM($C$51:R51)</f>
        <v>39</v>
      </c>
      <c r="S63" s="138">
        <f>-SUM($C$51:S51)</f>
        <v>39</v>
      </c>
      <c r="T63" s="138">
        <f>-SUM($C$51:T51)</f>
        <v>39</v>
      </c>
      <c r="U63" s="138">
        <f>-SUM($C$51:U51)</f>
        <v>39</v>
      </c>
      <c r="V63" s="363">
        <f>-SUM($C$51:V51)</f>
        <v>39</v>
      </c>
      <c r="W63" s="92">
        <f>-SUM($C$51:W51)</f>
        <v>39</v>
      </c>
      <c r="X63" s="92">
        <f>-SUM($C$51:X51)</f>
        <v>39</v>
      </c>
      <c r="Y63" s="92">
        <f>-SUM($C$51:Y51)</f>
        <v>39</v>
      </c>
      <c r="Z63" s="255">
        <f>-SUM($C$51:Z51)</f>
        <v>39</v>
      </c>
    </row>
    <row r="64" spans="1:40" s="18" customFormat="1" ht="16.5" thickBot="1" x14ac:dyDescent="0.3">
      <c r="A64" s="18" t="s">
        <v>148</v>
      </c>
      <c r="C64" s="27">
        <f t="shared" ref="C64:J64" si="52">SUM(C60:C63)</f>
        <v>74.314374999999984</v>
      </c>
      <c r="D64" s="27">
        <f t="shared" si="52"/>
        <v>169.16749999999996</v>
      </c>
      <c r="E64" s="27">
        <f t="shared" si="52"/>
        <v>176.80374999999998</v>
      </c>
      <c r="F64" s="27">
        <f t="shared" si="52"/>
        <v>233.82749999999999</v>
      </c>
      <c r="G64" s="27">
        <f t="shared" si="52"/>
        <v>174.57749999999999</v>
      </c>
      <c r="H64" s="27">
        <f t="shared" si="52"/>
        <v>146.31899999999996</v>
      </c>
      <c r="I64" s="27">
        <f t="shared" si="52"/>
        <v>65.171797499999968</v>
      </c>
      <c r="J64" s="27">
        <f t="shared" si="52"/>
        <v>366.8445872499999</v>
      </c>
      <c r="K64" s="139">
        <f t="shared" ref="K64:X64" si="53">SUM(K60:K63)</f>
        <v>312.87023037499989</v>
      </c>
      <c r="L64" s="139">
        <f t="shared" si="53"/>
        <v>310.25104737499987</v>
      </c>
      <c r="M64" s="139">
        <f t="shared" si="53"/>
        <v>239.76802637499986</v>
      </c>
      <c r="N64" s="139">
        <f t="shared" si="53"/>
        <v>175.00473162499986</v>
      </c>
      <c r="O64" s="139">
        <f t="shared" si="53"/>
        <v>170.21802162499989</v>
      </c>
      <c r="P64" s="139">
        <f t="shared" si="53"/>
        <v>75.641101624999862</v>
      </c>
      <c r="Q64" s="139">
        <f t="shared" si="53"/>
        <v>-19.039978875000088</v>
      </c>
      <c r="R64" s="139">
        <f t="shared" si="53"/>
        <v>-26.338356500000032</v>
      </c>
      <c r="S64" s="139">
        <f t="shared" si="53"/>
        <v>-15.349784000000113</v>
      </c>
      <c r="T64" s="139">
        <f t="shared" si="53"/>
        <v>19.769140999999934</v>
      </c>
      <c r="U64" s="139">
        <f t="shared" si="53"/>
        <v>22.837377499999889</v>
      </c>
      <c r="V64" s="364">
        <f t="shared" si="53"/>
        <v>21.104874999999879</v>
      </c>
      <c r="W64" s="93">
        <f t="shared" si="53"/>
        <v>21.072159849999935</v>
      </c>
      <c r="X64" s="93">
        <f t="shared" si="53"/>
        <v>19.039638877749894</v>
      </c>
      <c r="Y64" s="93">
        <f t="shared" ref="Y64:Z64" si="54">SUM(Y60:Y63)</f>
        <v>18.007332118541171</v>
      </c>
      <c r="Z64" s="256">
        <f t="shared" si="54"/>
        <v>18.975260336259907</v>
      </c>
      <c r="AN64" s="178"/>
    </row>
    <row r="65" spans="1:26" ht="13.5" thickTop="1" x14ac:dyDescent="0.2"/>
    <row r="66" spans="1:26" x14ac:dyDescent="0.2">
      <c r="A66" s="2" t="s">
        <v>298</v>
      </c>
    </row>
    <row r="67" spans="1:26" x14ac:dyDescent="0.2">
      <c r="A67" t="s">
        <v>299</v>
      </c>
      <c r="C67" s="22">
        <f t="shared" ref="C67:J67" si="55">B64</f>
        <v>0</v>
      </c>
      <c r="D67" s="22">
        <f t="shared" si="55"/>
        <v>74.314374999999984</v>
      </c>
      <c r="E67" s="22">
        <f t="shared" si="55"/>
        <v>169.16749999999996</v>
      </c>
      <c r="F67" s="22">
        <f t="shared" si="55"/>
        <v>176.80374999999998</v>
      </c>
      <c r="G67" s="22">
        <f t="shared" si="55"/>
        <v>233.82749999999999</v>
      </c>
      <c r="H67" s="22">
        <f t="shared" si="55"/>
        <v>174.57749999999999</v>
      </c>
      <c r="I67" s="22">
        <f t="shared" si="55"/>
        <v>146.31899999999996</v>
      </c>
      <c r="J67" s="22">
        <f t="shared" si="55"/>
        <v>65.171797499999968</v>
      </c>
      <c r="K67" s="107">
        <f t="shared" ref="K67:Z67" si="56">J64</f>
        <v>366.8445872499999</v>
      </c>
      <c r="L67" s="107">
        <f t="shared" si="56"/>
        <v>312.87023037499989</v>
      </c>
      <c r="M67" s="107">
        <f t="shared" si="56"/>
        <v>310.25104737499987</v>
      </c>
      <c r="N67" s="107">
        <f t="shared" si="56"/>
        <v>239.76802637499986</v>
      </c>
      <c r="O67" s="107">
        <f t="shared" si="56"/>
        <v>175.00473162499986</v>
      </c>
      <c r="P67" s="107">
        <f t="shared" si="56"/>
        <v>170.21802162499989</v>
      </c>
      <c r="Q67" s="107">
        <f t="shared" si="56"/>
        <v>75.641101624999862</v>
      </c>
      <c r="R67" s="107">
        <f t="shared" si="56"/>
        <v>-19.039978875000088</v>
      </c>
      <c r="S67" s="107">
        <f t="shared" si="56"/>
        <v>-26.338356500000032</v>
      </c>
      <c r="T67" s="107">
        <f t="shared" si="56"/>
        <v>-15.349784000000113</v>
      </c>
      <c r="U67" s="107">
        <f t="shared" si="56"/>
        <v>19.769140999999934</v>
      </c>
      <c r="V67" s="356">
        <f t="shared" si="56"/>
        <v>22.837377499999889</v>
      </c>
      <c r="W67" s="85">
        <f t="shared" si="56"/>
        <v>21.104874999999879</v>
      </c>
      <c r="X67" s="85">
        <f t="shared" si="56"/>
        <v>21.072159849999935</v>
      </c>
      <c r="Y67" s="85">
        <f t="shared" si="56"/>
        <v>19.039638877749894</v>
      </c>
      <c r="Z67" s="247">
        <f t="shared" si="56"/>
        <v>18.007332118541171</v>
      </c>
    </row>
    <row r="68" spans="1:26" x14ac:dyDescent="0.2">
      <c r="A68" t="s">
        <v>300</v>
      </c>
      <c r="C68" s="22">
        <f t="shared" ref="C68:I68" si="57">-C56</f>
        <v>-6</v>
      </c>
      <c r="D68" s="22">
        <f t="shared" si="57"/>
        <v>-14</v>
      </c>
      <c r="E68" s="22">
        <f t="shared" si="57"/>
        <v>-16</v>
      </c>
      <c r="F68" s="22">
        <f t="shared" si="57"/>
        <v>-22</v>
      </c>
      <c r="G68" s="22">
        <f t="shared" si="57"/>
        <v>-19</v>
      </c>
      <c r="H68" s="22">
        <f t="shared" si="57"/>
        <v>-16</v>
      </c>
      <c r="I68" s="22">
        <f t="shared" si="57"/>
        <v>-10</v>
      </c>
      <c r="J68" s="22">
        <f t="shared" ref="J68:P68" si="58">-J56</f>
        <v>-36</v>
      </c>
      <c r="K68" s="107">
        <f t="shared" si="58"/>
        <v>-36</v>
      </c>
      <c r="L68" s="107">
        <f t="shared" si="58"/>
        <v>-37</v>
      </c>
      <c r="M68" s="107">
        <f t="shared" si="58"/>
        <v>-39</v>
      </c>
      <c r="N68" s="107">
        <f t="shared" si="58"/>
        <v>-38</v>
      </c>
      <c r="O68" s="107">
        <f t="shared" si="58"/>
        <v>-35</v>
      </c>
      <c r="P68" s="107">
        <f t="shared" si="58"/>
        <v>-36</v>
      </c>
      <c r="Q68" s="107">
        <f t="shared" ref="Q68:V68" si="59">-Q56</f>
        <v>-22</v>
      </c>
      <c r="R68" s="107">
        <f t="shared" si="59"/>
        <v>-16</v>
      </c>
      <c r="S68" s="107">
        <f t="shared" si="59"/>
        <v>-16</v>
      </c>
      <c r="T68" s="107">
        <f t="shared" si="59"/>
        <v>-14</v>
      </c>
      <c r="U68" s="107">
        <f t="shared" si="59"/>
        <v>-16</v>
      </c>
      <c r="V68" s="356">
        <f t="shared" si="59"/>
        <v>-24</v>
      </c>
      <c r="W68" s="85">
        <f>-W56</f>
        <v>0</v>
      </c>
      <c r="X68" s="85">
        <f>-X56</f>
        <v>-2</v>
      </c>
      <c r="Y68" s="85">
        <f>-Y56</f>
        <v>-1</v>
      </c>
      <c r="Z68" s="247">
        <f>-Z56</f>
        <v>1</v>
      </c>
    </row>
    <row r="69" spans="1:26" x14ac:dyDescent="0.2">
      <c r="A69" t="s">
        <v>301</v>
      </c>
      <c r="C69" s="22">
        <f t="shared" ref="C69:I69" si="60">C16</f>
        <v>80.314374999999984</v>
      </c>
      <c r="D69" s="22">
        <f t="shared" si="60"/>
        <v>108.85312499999998</v>
      </c>
      <c r="E69" s="22">
        <f t="shared" si="60"/>
        <v>23.636250000000018</v>
      </c>
      <c r="F69" s="22">
        <f t="shared" si="60"/>
        <v>79.023750000000007</v>
      </c>
      <c r="G69" s="22">
        <f t="shared" si="60"/>
        <v>-41.25</v>
      </c>
      <c r="H69" s="22">
        <f t="shared" si="60"/>
        <v>25.741499999999974</v>
      </c>
      <c r="I69" s="22">
        <f t="shared" si="60"/>
        <v>-71.147202499999992</v>
      </c>
      <c r="J69" s="22">
        <f t="shared" ref="J69:P69" si="61">J16</f>
        <v>337.67278974999999</v>
      </c>
      <c r="K69" s="107">
        <f t="shared" si="61"/>
        <v>-17.974356875000041</v>
      </c>
      <c r="L69" s="107">
        <f t="shared" si="61"/>
        <v>34.380817000000036</v>
      </c>
      <c r="M69" s="107">
        <f t="shared" si="61"/>
        <v>-31.483021000000008</v>
      </c>
      <c r="N69" s="107">
        <f t="shared" si="61"/>
        <v>-26.76329475</v>
      </c>
      <c r="O69" s="107">
        <f t="shared" si="61"/>
        <v>30.213290000000001</v>
      </c>
      <c r="P69" s="107">
        <f t="shared" si="61"/>
        <v>-58.57692000000003</v>
      </c>
      <c r="Q69" s="107">
        <f t="shared" ref="Q69:V69" si="62">Q16</f>
        <v>-72.68108049999995</v>
      </c>
      <c r="R69" s="107">
        <f t="shared" si="62"/>
        <v>8.7016223750000563</v>
      </c>
      <c r="S69" s="107">
        <f t="shared" si="62"/>
        <v>26.988572499999918</v>
      </c>
      <c r="T69" s="107">
        <f t="shared" si="62"/>
        <v>49.118925000000047</v>
      </c>
      <c r="U69" s="107">
        <f t="shared" si="62"/>
        <v>19.068236499999955</v>
      </c>
      <c r="V69" s="356">
        <f t="shared" si="62"/>
        <v>22.26749749999999</v>
      </c>
      <c r="W69" s="85">
        <f>W16</f>
        <v>-3.2715150000001358E-2</v>
      </c>
      <c r="X69" s="85">
        <f>X16</f>
        <v>-3.2520972249983515E-2</v>
      </c>
      <c r="Y69" s="85">
        <f>Y16</f>
        <v>-3.2306759208722724E-2</v>
      </c>
      <c r="Z69" s="247">
        <f>Z16</f>
        <v>-3.2071782281207106E-2</v>
      </c>
    </row>
    <row r="70" spans="1:26" x14ac:dyDescent="0.2">
      <c r="A70" t="s">
        <v>302</v>
      </c>
      <c r="C70" s="22">
        <f t="shared" ref="C70:I70" si="63">-C46</f>
        <v>0</v>
      </c>
      <c r="D70" s="22">
        <f t="shared" si="63"/>
        <v>0</v>
      </c>
      <c r="E70" s="22">
        <f t="shared" si="63"/>
        <v>0</v>
      </c>
      <c r="F70" s="22">
        <f t="shared" si="63"/>
        <v>0</v>
      </c>
      <c r="G70" s="22">
        <f t="shared" si="63"/>
        <v>0</v>
      </c>
      <c r="H70" s="22">
        <f t="shared" si="63"/>
        <v>-39</v>
      </c>
      <c r="I70" s="22">
        <f t="shared" si="63"/>
        <v>0</v>
      </c>
      <c r="J70" s="22">
        <f t="shared" ref="J70:P70" si="64">-J46</f>
        <v>0</v>
      </c>
      <c r="K70" s="107">
        <f t="shared" si="64"/>
        <v>0</v>
      </c>
      <c r="L70" s="107">
        <f t="shared" si="64"/>
        <v>0</v>
      </c>
      <c r="M70" s="107">
        <f t="shared" si="64"/>
        <v>0</v>
      </c>
      <c r="N70" s="107">
        <f t="shared" si="64"/>
        <v>0</v>
      </c>
      <c r="O70" s="107">
        <f t="shared" si="64"/>
        <v>0</v>
      </c>
      <c r="P70" s="107">
        <f t="shared" si="64"/>
        <v>0</v>
      </c>
      <c r="Q70" s="107">
        <f t="shared" ref="Q70:V70" si="65">-Q46</f>
        <v>0</v>
      </c>
      <c r="R70" s="107">
        <f t="shared" si="65"/>
        <v>0</v>
      </c>
      <c r="S70" s="107">
        <f t="shared" si="65"/>
        <v>0</v>
      </c>
      <c r="T70" s="107">
        <f t="shared" si="65"/>
        <v>0</v>
      </c>
      <c r="U70" s="107">
        <f t="shared" si="65"/>
        <v>0</v>
      </c>
      <c r="V70" s="356">
        <f t="shared" si="65"/>
        <v>0</v>
      </c>
      <c r="W70" s="85">
        <f>-W46</f>
        <v>0</v>
      </c>
      <c r="X70" s="85">
        <f>-X46</f>
        <v>0</v>
      </c>
      <c r="Y70" s="85">
        <f>-Y46</f>
        <v>0</v>
      </c>
      <c r="Z70" s="247">
        <f>-Z46</f>
        <v>0</v>
      </c>
    </row>
    <row r="71" spans="1:26" ht="13.5" thickBot="1" x14ac:dyDescent="0.25">
      <c r="A71" t="s">
        <v>303</v>
      </c>
      <c r="C71" s="67">
        <f t="shared" ref="C71:J71" si="66">SUM(C67:C70)</f>
        <v>74.314374999999984</v>
      </c>
      <c r="D71" s="67">
        <f t="shared" si="66"/>
        <v>169.16749999999996</v>
      </c>
      <c r="E71" s="67">
        <f t="shared" si="66"/>
        <v>176.80374999999998</v>
      </c>
      <c r="F71" s="67">
        <f t="shared" si="66"/>
        <v>233.82749999999999</v>
      </c>
      <c r="G71" s="67">
        <f t="shared" si="66"/>
        <v>173.57749999999999</v>
      </c>
      <c r="H71" s="67">
        <f t="shared" si="66"/>
        <v>145.31899999999996</v>
      </c>
      <c r="I71" s="67">
        <f t="shared" si="66"/>
        <v>65.171797499999968</v>
      </c>
      <c r="J71" s="67">
        <f t="shared" si="66"/>
        <v>366.84458724999996</v>
      </c>
      <c r="K71" s="150">
        <f t="shared" ref="K71:X71" si="67">SUM(K67:K70)</f>
        <v>312.87023037499989</v>
      </c>
      <c r="L71" s="150">
        <f t="shared" si="67"/>
        <v>310.25104737499993</v>
      </c>
      <c r="M71" s="150">
        <f t="shared" si="67"/>
        <v>239.76802637499986</v>
      </c>
      <c r="N71" s="150">
        <f t="shared" si="67"/>
        <v>175.00473162499986</v>
      </c>
      <c r="O71" s="150">
        <f t="shared" si="67"/>
        <v>170.21802162499986</v>
      </c>
      <c r="P71" s="150">
        <f t="shared" si="67"/>
        <v>75.641101624999862</v>
      </c>
      <c r="Q71" s="150">
        <f t="shared" si="67"/>
        <v>-19.039978875000088</v>
      </c>
      <c r="R71" s="150">
        <f t="shared" si="67"/>
        <v>-26.338356500000032</v>
      </c>
      <c r="S71" s="150">
        <f t="shared" si="67"/>
        <v>-15.349784000000113</v>
      </c>
      <c r="T71" s="150">
        <f t="shared" si="67"/>
        <v>19.769140999999934</v>
      </c>
      <c r="U71" s="150">
        <f t="shared" si="67"/>
        <v>22.837377499999889</v>
      </c>
      <c r="V71" s="366">
        <f t="shared" si="67"/>
        <v>21.104874999999879</v>
      </c>
      <c r="W71" s="114">
        <f t="shared" si="67"/>
        <v>21.072159849999878</v>
      </c>
      <c r="X71" s="114">
        <f t="shared" si="67"/>
        <v>19.039638877749951</v>
      </c>
      <c r="Y71" s="114">
        <f t="shared" ref="Y71:Z71" si="68">SUM(Y67:Y70)</f>
        <v>18.007332118541171</v>
      </c>
      <c r="Z71" s="261">
        <f t="shared" si="68"/>
        <v>18.975260336259964</v>
      </c>
    </row>
    <row r="72" spans="1:26" ht="13.5" thickTop="1" x14ac:dyDescent="0.2"/>
    <row r="73" spans="1:26" x14ac:dyDescent="0.2">
      <c r="G73" s="22">
        <f t="shared" ref="G73:N73" si="69">G64-G71</f>
        <v>1</v>
      </c>
      <c r="H73" s="22">
        <f t="shared" si="69"/>
        <v>1</v>
      </c>
      <c r="I73" s="22">
        <f t="shared" si="69"/>
        <v>0</v>
      </c>
      <c r="J73" s="22">
        <f t="shared" si="69"/>
        <v>0</v>
      </c>
      <c r="K73" s="107">
        <f t="shared" si="69"/>
        <v>0</v>
      </c>
      <c r="L73" s="107">
        <f t="shared" si="69"/>
        <v>0</v>
      </c>
      <c r="M73" s="107">
        <f t="shared" si="69"/>
        <v>0</v>
      </c>
      <c r="N73" s="107">
        <f t="shared" si="69"/>
        <v>0</v>
      </c>
      <c r="O73" s="107">
        <f t="shared" ref="O73:U73" si="70">O64-O71</f>
        <v>0</v>
      </c>
      <c r="P73" s="107">
        <f t="shared" si="70"/>
        <v>0</v>
      </c>
      <c r="Q73" s="107">
        <f t="shared" si="70"/>
        <v>0</v>
      </c>
      <c r="R73" s="107">
        <f t="shared" si="70"/>
        <v>0</v>
      </c>
      <c r="S73" s="107">
        <f t="shared" si="70"/>
        <v>0</v>
      </c>
      <c r="T73" s="107">
        <f t="shared" si="70"/>
        <v>0</v>
      </c>
      <c r="U73" s="107">
        <f t="shared" si="70"/>
        <v>0</v>
      </c>
      <c r="V73" s="356">
        <f>V64-V71</f>
        <v>0</v>
      </c>
      <c r="W73" s="85">
        <f>W64-W71</f>
        <v>5.6843418860808015E-14</v>
      </c>
      <c r="X73" s="85">
        <f>X64-X71</f>
        <v>-5.6843418860808015E-14</v>
      </c>
      <c r="Y73" s="85">
        <f>Y64-Y71</f>
        <v>0</v>
      </c>
      <c r="Z73" s="247">
        <f>Z64-Z71</f>
        <v>-5.6843418860808015E-14</v>
      </c>
    </row>
    <row r="74" spans="1:26" x14ac:dyDescent="0.2">
      <c r="H74" s="22"/>
    </row>
  </sheetData>
  <phoneticPr fontId="0" type="noConversion"/>
  <pageMargins left="0.5" right="0.5" top="0.32" bottom="0.53" header="0.27" footer="0.26"/>
  <pageSetup paperSize="5" scale="40" orientation="landscape" r:id="rId1"/>
  <headerFooter alignWithMargins="0">
    <oddFooter>&amp;L&amp;"Arial,Bold"&amp;F&amp;C&amp;A&amp;R&amp;D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O115"/>
  <sheetViews>
    <sheetView workbookViewId="0">
      <pane xSplit="1" ySplit="4" topLeftCell="AB54" activePane="bottomRight" state="frozen"/>
      <selection activeCell="AF39" sqref="AF39"/>
      <selection pane="topRight" activeCell="AF39" sqref="AF39"/>
      <selection pane="bottomLeft" activeCell="AF39" sqref="AF39"/>
      <selection pane="bottomRight" activeCell="AN77" sqref="AN77"/>
    </sheetView>
  </sheetViews>
  <sheetFormatPr baseColWidth="10" defaultColWidth="9.140625" defaultRowHeight="12.75" x14ac:dyDescent="0.2"/>
  <cols>
    <col min="1" max="1" width="53.28515625" customWidth="1"/>
    <col min="2" max="2" width="22" customWidth="1"/>
    <col min="36" max="38" width="8.85546875" customWidth="1"/>
    <col min="39" max="39" width="2.85546875" customWidth="1"/>
    <col min="40" max="40" width="11.5703125" customWidth="1"/>
    <col min="41" max="41" width="9.28515625" bestFit="1" customWidth="1"/>
  </cols>
  <sheetData>
    <row r="1" spans="1:41" ht="15.75" x14ac:dyDescent="0.25">
      <c r="A1" s="18" t="s">
        <v>67</v>
      </c>
    </row>
    <row r="2" spans="1:41" x14ac:dyDescent="0.2">
      <c r="A2" s="2" t="s">
        <v>250</v>
      </c>
    </row>
    <row r="3" spans="1:41" x14ac:dyDescent="0.2">
      <c r="AN3" s="16" t="s">
        <v>106</v>
      </c>
      <c r="AO3">
        <f>'Data Input'!J16+500</f>
        <v>758</v>
      </c>
    </row>
    <row r="4" spans="1:41" s="2" customFormat="1" ht="13.5" thickBot="1" x14ac:dyDescent="0.25">
      <c r="A4" s="19" t="s">
        <v>1</v>
      </c>
      <c r="B4" s="20" t="s">
        <v>26</v>
      </c>
      <c r="C4" s="20">
        <v>1996</v>
      </c>
      <c r="D4" s="20">
        <v>1997</v>
      </c>
      <c r="E4" s="20">
        <v>1998</v>
      </c>
      <c r="F4" s="20">
        <v>1999</v>
      </c>
      <c r="G4" s="20">
        <v>2000</v>
      </c>
      <c r="H4" s="20">
        <v>2001</v>
      </c>
      <c r="I4" s="20">
        <v>2002</v>
      </c>
      <c r="J4" s="20">
        <v>2003</v>
      </c>
      <c r="K4" s="20">
        <v>2004</v>
      </c>
      <c r="L4" s="20">
        <v>2005</v>
      </c>
      <c r="M4" s="20">
        <v>2006</v>
      </c>
      <c r="N4" s="20">
        <v>2007</v>
      </c>
      <c r="O4" s="20">
        <v>2008</v>
      </c>
      <c r="P4" s="20">
        <v>2009</v>
      </c>
      <c r="Q4" s="20">
        <v>2010</v>
      </c>
      <c r="R4" s="20">
        <v>2011</v>
      </c>
      <c r="S4" s="20">
        <v>2012</v>
      </c>
      <c r="T4" s="20">
        <v>2013</v>
      </c>
      <c r="U4" s="20">
        <v>2014</v>
      </c>
      <c r="V4" s="20">
        <v>2015</v>
      </c>
      <c r="W4" s="20">
        <v>2016</v>
      </c>
      <c r="X4" s="73">
        <v>2017</v>
      </c>
      <c r="Y4" s="73">
        <v>2018</v>
      </c>
      <c r="Z4" s="73">
        <v>2019</v>
      </c>
      <c r="AA4" s="73">
        <v>2020</v>
      </c>
      <c r="AB4" s="73">
        <v>2021</v>
      </c>
      <c r="AC4" s="73">
        <v>2022</v>
      </c>
      <c r="AD4" s="73">
        <v>2023</v>
      </c>
      <c r="AE4" s="73">
        <v>2024</v>
      </c>
      <c r="AF4" s="73">
        <v>2025</v>
      </c>
      <c r="AG4" s="73">
        <v>2026</v>
      </c>
      <c r="AH4" s="73">
        <v>2027</v>
      </c>
      <c r="AI4" s="73">
        <v>2028</v>
      </c>
      <c r="AJ4" s="73">
        <v>2029</v>
      </c>
      <c r="AK4" s="73">
        <v>2030</v>
      </c>
      <c r="AL4" s="73"/>
      <c r="AN4" s="17" t="s">
        <v>107</v>
      </c>
      <c r="AO4" s="17" t="s">
        <v>109</v>
      </c>
    </row>
    <row r="7" spans="1:41" x14ac:dyDescent="0.2">
      <c r="A7" s="28" t="s">
        <v>113</v>
      </c>
    </row>
    <row r="8" spans="1:41" s="3" customFormat="1" x14ac:dyDescent="0.2">
      <c r="A8" s="3" t="s">
        <v>91</v>
      </c>
      <c r="B8" s="3" t="s">
        <v>108</v>
      </c>
      <c r="C8" s="3">
        <f>'experience g(l)'!H40</f>
        <v>111</v>
      </c>
      <c r="D8" s="3">
        <f>'experience g(l)'!I40</f>
        <v>111</v>
      </c>
      <c r="E8" s="3">
        <f>'experience g(l)'!J40</f>
        <v>111</v>
      </c>
      <c r="F8" s="3">
        <f>'experience g(l)'!K40</f>
        <v>111</v>
      </c>
      <c r="G8" s="3">
        <f>'experience g(l)'!L40</f>
        <v>111</v>
      </c>
      <c r="H8" s="3">
        <f>'experience g(l)'!M40</f>
        <v>111</v>
      </c>
      <c r="I8" s="3">
        <f>'experience g(l)'!N40</f>
        <v>111</v>
      </c>
      <c r="J8" s="3">
        <f>'experience g(l)'!O40</f>
        <v>111</v>
      </c>
      <c r="K8" s="3">
        <f>'experience g(l)'!P40</f>
        <v>111</v>
      </c>
      <c r="L8" s="3">
        <f>'experience g(l)'!Q40</f>
        <v>0</v>
      </c>
      <c r="M8" s="3">
        <f>'experience g(l)'!R40</f>
        <v>0</v>
      </c>
      <c r="N8" s="3">
        <f>'experience g(l)'!S40</f>
        <v>0</v>
      </c>
      <c r="O8" s="3">
        <f>'experience g(l)'!T40</f>
        <v>0</v>
      </c>
      <c r="AN8" s="3">
        <f>SUM(C8:AM8)</f>
        <v>999</v>
      </c>
      <c r="AO8" s="3">
        <v>758</v>
      </c>
    </row>
    <row r="9" spans="1:41" s="3" customFormat="1" x14ac:dyDescent="0.2">
      <c r="A9" s="3" t="s">
        <v>92</v>
      </c>
      <c r="B9" s="3" t="s">
        <v>108</v>
      </c>
      <c r="C9" s="3">
        <f>'experience g(l)'!H41</f>
        <v>-50</v>
      </c>
      <c r="D9" s="3">
        <f>'experience g(l)'!I41</f>
        <v>-50</v>
      </c>
      <c r="E9" s="3">
        <f>'experience g(l)'!J41</f>
        <v>-50</v>
      </c>
      <c r="F9" s="3">
        <f>'experience g(l)'!K41</f>
        <v>-50</v>
      </c>
      <c r="G9" s="3">
        <f>'experience g(l)'!L41</f>
        <v>-50</v>
      </c>
      <c r="H9" s="3">
        <f>'experience g(l)'!M41</f>
        <v>-50</v>
      </c>
      <c r="I9" s="3">
        <f>'experience g(l)'!N41</f>
        <v>-49</v>
      </c>
      <c r="J9" s="3">
        <f>'experience g(l)'!O41</f>
        <v>-49</v>
      </c>
      <c r="K9" s="3">
        <f>'experience g(l)'!P41</f>
        <v>-49</v>
      </c>
      <c r="L9" s="3">
        <f>'experience g(l)'!Q41</f>
        <v>-49</v>
      </c>
      <c r="M9" s="3">
        <f>'experience g(l)'!R41</f>
        <v>0</v>
      </c>
      <c r="N9" s="3">
        <f>'experience g(l)'!S41</f>
        <v>0</v>
      </c>
      <c r="O9" s="3">
        <f>'experience g(l)'!T41</f>
        <v>0</v>
      </c>
      <c r="AN9" s="3">
        <f>SUM(C9:AM9)</f>
        <v>-496</v>
      </c>
    </row>
    <row r="10" spans="1:41" s="3" customFormat="1" x14ac:dyDescent="0.2">
      <c r="A10" s="3" t="s">
        <v>93</v>
      </c>
      <c r="B10" s="3" t="s">
        <v>108</v>
      </c>
      <c r="C10" s="3">
        <f>'experience g(l)'!H42</f>
        <v>196</v>
      </c>
      <c r="D10" s="3">
        <f>'experience g(l)'!I42</f>
        <v>196</v>
      </c>
      <c r="E10" s="3">
        <f>'experience g(l)'!J42</f>
        <v>196</v>
      </c>
      <c r="F10" s="3">
        <f>'experience g(l)'!K42</f>
        <v>196</v>
      </c>
      <c r="G10" s="3">
        <f>'experience g(l)'!L42</f>
        <v>196</v>
      </c>
      <c r="H10" s="3">
        <f>'experience g(l)'!M42</f>
        <v>196</v>
      </c>
      <c r="I10" s="3">
        <f>'experience g(l)'!N42</f>
        <v>196</v>
      </c>
      <c r="J10" s="3">
        <f>'experience g(l)'!O42</f>
        <v>196</v>
      </c>
      <c r="K10" s="3">
        <f>'experience g(l)'!P42</f>
        <v>196</v>
      </c>
      <c r="L10" s="3">
        <f>'experience g(l)'!Q42</f>
        <v>196</v>
      </c>
      <c r="M10" s="3">
        <f>'experience g(l)'!R42</f>
        <v>195</v>
      </c>
      <c r="N10" s="3">
        <f>'experience g(l)'!S42</f>
        <v>0</v>
      </c>
      <c r="O10" s="3">
        <f>'experience g(l)'!T42</f>
        <v>0</v>
      </c>
      <c r="AN10" s="3">
        <f>SUM(C10:AM10)</f>
        <v>2155</v>
      </c>
    </row>
    <row r="11" spans="1:41" s="3" customFormat="1" x14ac:dyDescent="0.2">
      <c r="A11" s="3" t="s">
        <v>94</v>
      </c>
      <c r="B11" s="3" t="s">
        <v>108</v>
      </c>
      <c r="C11" s="3">
        <f>'experience g(l)'!H43</f>
        <v>-109</v>
      </c>
      <c r="D11" s="3">
        <f>'experience g(l)'!I43</f>
        <v>-109</v>
      </c>
      <c r="E11" s="3">
        <f>'experience g(l)'!J43</f>
        <v>-109</v>
      </c>
      <c r="F11" s="3">
        <f>'experience g(l)'!K43</f>
        <v>-109</v>
      </c>
      <c r="G11" s="3">
        <f>'experience g(l)'!L43</f>
        <v>-109</v>
      </c>
      <c r="H11" s="3">
        <f>'experience g(l)'!M43</f>
        <v>-109</v>
      </c>
      <c r="I11" s="3">
        <f>'experience g(l)'!N43</f>
        <v>-109</v>
      </c>
      <c r="J11" s="3">
        <f>'experience g(l)'!O43</f>
        <v>-110</v>
      </c>
      <c r="K11" s="3">
        <f>'experience g(l)'!P43</f>
        <v>-110</v>
      </c>
      <c r="L11" s="3">
        <f>'experience g(l)'!Q43</f>
        <v>-110</v>
      </c>
      <c r="M11" s="3">
        <f>'experience g(l)'!R43</f>
        <v>-110</v>
      </c>
      <c r="N11" s="3">
        <f>'experience g(l)'!S43</f>
        <v>-110</v>
      </c>
      <c r="O11" s="3">
        <f>'experience g(l)'!T43</f>
        <v>0</v>
      </c>
      <c r="AN11" s="3">
        <f>SUM(C11:AM11)</f>
        <v>-1313</v>
      </c>
    </row>
    <row r="12" spans="1:41" s="3" customFormat="1" x14ac:dyDescent="0.2">
      <c r="A12" s="3" t="s">
        <v>95</v>
      </c>
      <c r="B12" s="3" t="s">
        <v>108</v>
      </c>
      <c r="C12" s="6">
        <f>'experience g(l)'!H44</f>
        <v>145</v>
      </c>
      <c r="D12" s="6">
        <f>'experience g(l)'!I44</f>
        <v>145</v>
      </c>
      <c r="E12" s="6">
        <f>'experience g(l)'!J44</f>
        <v>145</v>
      </c>
      <c r="F12" s="6">
        <f>'experience g(l)'!K44</f>
        <v>145</v>
      </c>
      <c r="G12" s="6">
        <f>'experience g(l)'!L44</f>
        <v>145</v>
      </c>
      <c r="H12" s="6">
        <f>'experience g(l)'!M44</f>
        <v>145</v>
      </c>
      <c r="I12" s="6">
        <f>'experience g(l)'!N44</f>
        <v>145</v>
      </c>
      <c r="J12" s="6">
        <f>'experience g(l)'!O44</f>
        <v>146</v>
      </c>
      <c r="K12" s="6">
        <f>'experience g(l)'!P44</f>
        <v>146</v>
      </c>
      <c r="L12" s="6">
        <f>'experience g(l)'!Q44</f>
        <v>146</v>
      </c>
      <c r="M12" s="6">
        <f>'experience g(l)'!R44</f>
        <v>146</v>
      </c>
      <c r="N12" s="6">
        <f>'experience g(l)'!S44</f>
        <v>146</v>
      </c>
      <c r="O12" s="6">
        <f>'experience g(l)'!T44</f>
        <v>146</v>
      </c>
      <c r="P12" s="6"/>
      <c r="Q12" s="6"/>
      <c r="R12" s="6"/>
      <c r="S12" s="6"/>
      <c r="T12" s="6"/>
      <c r="U12" s="45"/>
      <c r="V12" s="45"/>
      <c r="W12" s="45"/>
      <c r="X12" s="45"/>
      <c r="Y12" s="45"/>
      <c r="Z12" s="45"/>
      <c r="AA12" s="45"/>
      <c r="AB12" s="45"/>
      <c r="AC12" s="45"/>
      <c r="AD12" s="45"/>
      <c r="AE12" s="45"/>
      <c r="AF12" s="45"/>
      <c r="AG12" s="45"/>
      <c r="AH12" s="45"/>
      <c r="AI12" s="45"/>
      <c r="AJ12" s="45"/>
      <c r="AK12" s="45"/>
      <c r="AL12" s="45"/>
      <c r="AN12" s="6">
        <f>SUM(C12:AM12)</f>
        <v>1891</v>
      </c>
      <c r="AO12" s="6"/>
    </row>
    <row r="13" spans="1:41" x14ac:dyDescent="0.2">
      <c r="A13" s="31" t="s">
        <v>110</v>
      </c>
      <c r="AN13" s="33">
        <f>SUM(AN8:AN12)</f>
        <v>3236</v>
      </c>
      <c r="AO13" s="34">
        <f>SUM(AO8:AO12)</f>
        <v>758</v>
      </c>
    </row>
    <row r="15" spans="1:41" x14ac:dyDescent="0.2">
      <c r="A15" s="28" t="s">
        <v>114</v>
      </c>
    </row>
    <row r="16" spans="1:41" s="25" customFormat="1" ht="12" customHeight="1" x14ac:dyDescent="0.2">
      <c r="A16" s="25" t="s">
        <v>91</v>
      </c>
      <c r="B16" s="8" t="s">
        <v>131</v>
      </c>
      <c r="C16" s="36">
        <v>-85</v>
      </c>
      <c r="D16" s="36">
        <v>-85</v>
      </c>
      <c r="E16" s="36">
        <v>-84</v>
      </c>
      <c r="F16" s="36">
        <v>-84</v>
      </c>
      <c r="G16" s="36">
        <v>-84</v>
      </c>
      <c r="H16" s="36">
        <v>-84</v>
      </c>
      <c r="I16" s="36">
        <v>-84</v>
      </c>
      <c r="J16" s="36">
        <v>-84</v>
      </c>
      <c r="K16" s="36">
        <v>-84</v>
      </c>
      <c r="L16" s="36"/>
      <c r="M16" s="36"/>
      <c r="N16" s="36"/>
      <c r="O16" s="36"/>
      <c r="P16" s="36"/>
      <c r="Q16" s="36"/>
      <c r="R16" s="36"/>
      <c r="S16" s="36"/>
      <c r="T16" s="36"/>
      <c r="U16" s="39"/>
      <c r="V16" s="39"/>
      <c r="W16" s="39"/>
      <c r="X16" s="39"/>
      <c r="Y16" s="39"/>
      <c r="Z16" s="39"/>
      <c r="AA16" s="39"/>
      <c r="AB16" s="39"/>
      <c r="AC16" s="39"/>
      <c r="AD16" s="39"/>
      <c r="AE16" s="39"/>
      <c r="AF16" s="39"/>
      <c r="AG16" s="39"/>
      <c r="AH16" s="39"/>
      <c r="AI16" s="39"/>
      <c r="AJ16" s="39"/>
      <c r="AK16" s="39"/>
      <c r="AL16" s="39"/>
      <c r="AN16" s="25">
        <f>SUM(C16:AM16)</f>
        <v>-758</v>
      </c>
    </row>
    <row r="18" spans="1:41" x14ac:dyDescent="0.2">
      <c r="AN18" s="16" t="s">
        <v>106</v>
      </c>
      <c r="AO18" s="3">
        <f>'Data Input'!K16-500</f>
        <v>1513</v>
      </c>
    </row>
    <row r="19" spans="1:41" x14ac:dyDescent="0.2">
      <c r="A19" s="28" t="s">
        <v>115</v>
      </c>
      <c r="AN19" s="17" t="s">
        <v>116</v>
      </c>
      <c r="AO19" s="17" t="s">
        <v>117</v>
      </c>
    </row>
    <row r="20" spans="1:41" s="3" customFormat="1" x14ac:dyDescent="0.2">
      <c r="A20" s="3" t="s">
        <v>91</v>
      </c>
      <c r="B20" s="3" t="s">
        <v>31</v>
      </c>
      <c r="C20" s="3">
        <f>C8+C16</f>
        <v>26</v>
      </c>
      <c r="D20" s="3">
        <f t="shared" ref="D20:P20" si="0">D8+D16</f>
        <v>26</v>
      </c>
      <c r="E20" s="3">
        <f t="shared" si="0"/>
        <v>27</v>
      </c>
      <c r="F20" s="3">
        <f t="shared" si="0"/>
        <v>27</v>
      </c>
      <c r="G20" s="3">
        <f t="shared" si="0"/>
        <v>27</v>
      </c>
      <c r="H20" s="3">
        <f t="shared" si="0"/>
        <v>27</v>
      </c>
      <c r="I20" s="3">
        <f t="shared" si="0"/>
        <v>27</v>
      </c>
      <c r="J20" s="3">
        <f t="shared" si="0"/>
        <v>27</v>
      </c>
      <c r="K20" s="3">
        <f t="shared" si="0"/>
        <v>27</v>
      </c>
      <c r="L20" s="3">
        <f t="shared" si="0"/>
        <v>0</v>
      </c>
      <c r="M20" s="3">
        <f t="shared" si="0"/>
        <v>0</v>
      </c>
      <c r="N20" s="3">
        <f t="shared" si="0"/>
        <v>0</v>
      </c>
      <c r="O20" s="3">
        <f t="shared" si="0"/>
        <v>0</v>
      </c>
      <c r="P20" s="3">
        <f t="shared" si="0"/>
        <v>0</v>
      </c>
      <c r="AN20" s="3">
        <f t="shared" ref="AN20:AN25" si="1">SUM(D20:AM20)</f>
        <v>215</v>
      </c>
      <c r="AO20" s="3">
        <v>215</v>
      </c>
    </row>
    <row r="21" spans="1:41" s="3" customFormat="1" x14ac:dyDescent="0.2">
      <c r="A21" s="3" t="s">
        <v>92</v>
      </c>
      <c r="B21" s="3" t="s">
        <v>108</v>
      </c>
      <c r="C21" s="3">
        <f>'experience g(l)'!H41</f>
        <v>-50</v>
      </c>
      <c r="D21" s="3">
        <f>'experience g(l)'!I41</f>
        <v>-50</v>
      </c>
      <c r="E21" s="3">
        <f>'experience g(l)'!J41</f>
        <v>-50</v>
      </c>
      <c r="F21" s="3">
        <f>'experience g(l)'!K41</f>
        <v>-50</v>
      </c>
      <c r="G21" s="3">
        <f>'experience g(l)'!L41</f>
        <v>-50</v>
      </c>
      <c r="H21" s="3">
        <f>'experience g(l)'!M41</f>
        <v>-50</v>
      </c>
      <c r="I21" s="3">
        <f>'experience g(l)'!N41</f>
        <v>-49</v>
      </c>
      <c r="J21" s="3">
        <f>'experience g(l)'!O41</f>
        <v>-49</v>
      </c>
      <c r="K21" s="3">
        <f>'experience g(l)'!P41</f>
        <v>-49</v>
      </c>
      <c r="L21" s="3">
        <f>'experience g(l)'!Q41</f>
        <v>-49</v>
      </c>
      <c r="M21" s="3">
        <f>'experience g(l)'!R41</f>
        <v>0</v>
      </c>
      <c r="N21" s="3">
        <f>'experience g(l)'!S41</f>
        <v>0</v>
      </c>
      <c r="O21" s="3">
        <f>'experience g(l)'!T41</f>
        <v>0</v>
      </c>
      <c r="P21" s="3">
        <f>'experience g(l)'!U41</f>
        <v>0</v>
      </c>
      <c r="AN21" s="3">
        <f t="shared" si="1"/>
        <v>-446</v>
      </c>
    </row>
    <row r="22" spans="1:41" s="3" customFormat="1" x14ac:dyDescent="0.2">
      <c r="A22" s="3" t="s">
        <v>93</v>
      </c>
      <c r="B22" s="3" t="s">
        <v>108</v>
      </c>
      <c r="C22" s="3">
        <f>'experience g(l)'!H42</f>
        <v>196</v>
      </c>
      <c r="D22" s="3">
        <f>'experience g(l)'!I42</f>
        <v>196</v>
      </c>
      <c r="E22" s="3">
        <f>'experience g(l)'!J42</f>
        <v>196</v>
      </c>
      <c r="F22" s="3">
        <f>'experience g(l)'!K42</f>
        <v>196</v>
      </c>
      <c r="G22" s="3">
        <f>'experience g(l)'!L42</f>
        <v>196</v>
      </c>
      <c r="H22" s="3">
        <f>'experience g(l)'!M42</f>
        <v>196</v>
      </c>
      <c r="I22" s="3">
        <f>'experience g(l)'!N42</f>
        <v>196</v>
      </c>
      <c r="J22" s="3">
        <f>'experience g(l)'!O42</f>
        <v>196</v>
      </c>
      <c r="K22" s="3">
        <f>'experience g(l)'!P42</f>
        <v>196</v>
      </c>
      <c r="L22" s="3">
        <f>'experience g(l)'!Q42</f>
        <v>196</v>
      </c>
      <c r="M22" s="3">
        <f>'experience g(l)'!R42</f>
        <v>195</v>
      </c>
      <c r="N22" s="3">
        <f>'experience g(l)'!S42</f>
        <v>0</v>
      </c>
      <c r="O22" s="3">
        <f>'experience g(l)'!T42</f>
        <v>0</v>
      </c>
      <c r="P22" s="3">
        <f>'experience g(l)'!U42</f>
        <v>0</v>
      </c>
      <c r="AN22" s="3">
        <f t="shared" si="1"/>
        <v>1959</v>
      </c>
      <c r="AO22" s="3">
        <v>1298</v>
      </c>
    </row>
    <row r="23" spans="1:41" s="3" customFormat="1" x14ac:dyDescent="0.2">
      <c r="A23" s="3" t="s">
        <v>94</v>
      </c>
      <c r="B23" s="3" t="s">
        <v>108</v>
      </c>
      <c r="C23" s="3">
        <f>'experience g(l)'!H43</f>
        <v>-109</v>
      </c>
      <c r="D23" s="3">
        <f>'experience g(l)'!I43</f>
        <v>-109</v>
      </c>
      <c r="E23" s="3">
        <f>'experience g(l)'!J43</f>
        <v>-109</v>
      </c>
      <c r="F23" s="3">
        <f>'experience g(l)'!K43</f>
        <v>-109</v>
      </c>
      <c r="G23" s="3">
        <f>'experience g(l)'!L43</f>
        <v>-109</v>
      </c>
      <c r="H23" s="3">
        <f>'experience g(l)'!M43</f>
        <v>-109</v>
      </c>
      <c r="I23" s="3">
        <f>'experience g(l)'!N43</f>
        <v>-109</v>
      </c>
      <c r="J23" s="3">
        <f>'experience g(l)'!O43</f>
        <v>-110</v>
      </c>
      <c r="K23" s="3">
        <f>'experience g(l)'!P43</f>
        <v>-110</v>
      </c>
      <c r="L23" s="3">
        <f>'experience g(l)'!Q43</f>
        <v>-110</v>
      </c>
      <c r="M23" s="3">
        <f>'experience g(l)'!R43</f>
        <v>-110</v>
      </c>
      <c r="N23" s="3">
        <f>'experience g(l)'!S43</f>
        <v>-110</v>
      </c>
      <c r="O23" s="3">
        <f>'experience g(l)'!T43</f>
        <v>0</v>
      </c>
      <c r="P23" s="3">
        <f>'experience g(l)'!U43</f>
        <v>0</v>
      </c>
      <c r="AN23" s="3">
        <f t="shared" si="1"/>
        <v>-1204</v>
      </c>
    </row>
    <row r="24" spans="1:41" s="3" customFormat="1" x14ac:dyDescent="0.2">
      <c r="A24" s="3" t="s">
        <v>95</v>
      </c>
      <c r="B24" s="3" t="s">
        <v>108</v>
      </c>
      <c r="C24" s="3">
        <f>'experience g(l)'!H44</f>
        <v>145</v>
      </c>
      <c r="D24" s="3">
        <f>'experience g(l)'!I44</f>
        <v>145</v>
      </c>
      <c r="E24" s="3">
        <f>'experience g(l)'!J44</f>
        <v>145</v>
      </c>
      <c r="F24" s="3">
        <f>'experience g(l)'!K44</f>
        <v>145</v>
      </c>
      <c r="G24" s="3">
        <f>'experience g(l)'!L44</f>
        <v>145</v>
      </c>
      <c r="H24" s="3">
        <f>'experience g(l)'!M44</f>
        <v>145</v>
      </c>
      <c r="I24" s="3">
        <f>'experience g(l)'!N44</f>
        <v>145</v>
      </c>
      <c r="J24" s="3">
        <f>'experience g(l)'!O44</f>
        <v>146</v>
      </c>
      <c r="K24" s="3">
        <f>'experience g(l)'!P44</f>
        <v>146</v>
      </c>
      <c r="L24" s="3">
        <f>'experience g(l)'!Q44</f>
        <v>146</v>
      </c>
      <c r="M24" s="3">
        <f>'experience g(l)'!R44</f>
        <v>146</v>
      </c>
      <c r="N24" s="3">
        <f>'experience g(l)'!S44</f>
        <v>146</v>
      </c>
      <c r="O24" s="3">
        <f>'experience g(l)'!T44</f>
        <v>146</v>
      </c>
      <c r="P24" s="3">
        <f>'experience g(l)'!U44</f>
        <v>0</v>
      </c>
      <c r="AN24" s="3">
        <f t="shared" si="1"/>
        <v>1746</v>
      </c>
    </row>
    <row r="25" spans="1:41" s="3" customFormat="1" x14ac:dyDescent="0.2">
      <c r="A25" s="3" t="s">
        <v>96</v>
      </c>
      <c r="B25" s="3" t="s">
        <v>108</v>
      </c>
      <c r="C25" s="6">
        <f>'experience g(l)'!H45</f>
        <v>172</v>
      </c>
      <c r="D25" s="6">
        <f>'experience g(l)'!I45</f>
        <v>172</v>
      </c>
      <c r="E25" s="6">
        <f>'experience g(l)'!J45</f>
        <v>172</v>
      </c>
      <c r="F25" s="6">
        <f>'experience g(l)'!K45</f>
        <v>172</v>
      </c>
      <c r="G25" s="6">
        <f>'experience g(l)'!L45</f>
        <v>172</v>
      </c>
      <c r="H25" s="6">
        <f>'experience g(l)'!M45</f>
        <v>172</v>
      </c>
      <c r="I25" s="6">
        <f>'experience g(l)'!N45</f>
        <v>172</v>
      </c>
      <c r="J25" s="6">
        <f>'experience g(l)'!O45</f>
        <v>172</v>
      </c>
      <c r="K25" s="6">
        <f>'experience g(l)'!P45</f>
        <v>172</v>
      </c>
      <c r="L25" s="6">
        <f>'experience g(l)'!Q45</f>
        <v>172</v>
      </c>
      <c r="M25" s="6">
        <f>'experience g(l)'!R45</f>
        <v>172</v>
      </c>
      <c r="N25" s="6">
        <f>'experience g(l)'!S45</f>
        <v>172</v>
      </c>
      <c r="O25" s="6">
        <f>'experience g(l)'!T45</f>
        <v>171</v>
      </c>
      <c r="P25" s="6">
        <f>'experience g(l)'!U45</f>
        <v>171</v>
      </c>
      <c r="Q25" s="6"/>
      <c r="R25" s="6"/>
      <c r="S25" s="6"/>
      <c r="T25" s="6"/>
      <c r="U25" s="45"/>
      <c r="V25" s="45"/>
      <c r="W25" s="45"/>
      <c r="X25" s="45"/>
      <c r="Y25" s="45"/>
      <c r="Z25" s="45"/>
      <c r="AA25" s="45"/>
      <c r="AB25" s="45"/>
      <c r="AC25" s="45"/>
      <c r="AD25" s="45"/>
      <c r="AE25" s="45"/>
      <c r="AF25" s="45"/>
      <c r="AG25" s="45"/>
      <c r="AH25" s="45"/>
      <c r="AI25" s="45"/>
      <c r="AJ25" s="45"/>
      <c r="AK25" s="45"/>
      <c r="AL25" s="45"/>
      <c r="AN25" s="6">
        <f t="shared" si="1"/>
        <v>2234</v>
      </c>
      <c r="AO25" s="6"/>
    </row>
    <row r="26" spans="1:41" s="25" customFormat="1" x14ac:dyDescent="0.2">
      <c r="A26" s="25" t="s">
        <v>111</v>
      </c>
      <c r="C26" s="26">
        <f>SUM(C20:C25)</f>
        <v>380</v>
      </c>
      <c r="D26" s="26">
        <f t="shared" ref="D26:T26" si="2">SUM(D20:D25)</f>
        <v>380</v>
      </c>
      <c r="E26" s="26">
        <f t="shared" si="2"/>
        <v>381</v>
      </c>
      <c r="F26" s="26">
        <f t="shared" si="2"/>
        <v>381</v>
      </c>
      <c r="G26" s="26">
        <f t="shared" si="2"/>
        <v>381</v>
      </c>
      <c r="H26" s="26">
        <f t="shared" si="2"/>
        <v>381</v>
      </c>
      <c r="I26" s="26">
        <f t="shared" si="2"/>
        <v>382</v>
      </c>
      <c r="J26" s="26">
        <f t="shared" si="2"/>
        <v>382</v>
      </c>
      <c r="K26" s="26">
        <f t="shared" si="2"/>
        <v>382</v>
      </c>
      <c r="L26" s="26">
        <f t="shared" si="2"/>
        <v>355</v>
      </c>
      <c r="M26" s="26">
        <f t="shared" si="2"/>
        <v>403</v>
      </c>
      <c r="N26" s="26">
        <f t="shared" si="2"/>
        <v>208</v>
      </c>
      <c r="O26" s="26">
        <f t="shared" si="2"/>
        <v>317</v>
      </c>
      <c r="P26" s="26">
        <f t="shared" si="2"/>
        <v>171</v>
      </c>
      <c r="Q26" s="26">
        <f t="shared" si="2"/>
        <v>0</v>
      </c>
      <c r="R26" s="26">
        <f t="shared" si="2"/>
        <v>0</v>
      </c>
      <c r="S26" s="26">
        <f t="shared" si="2"/>
        <v>0</v>
      </c>
      <c r="T26" s="26">
        <f t="shared" si="2"/>
        <v>0</v>
      </c>
      <c r="U26" s="39"/>
      <c r="V26" s="39"/>
      <c r="W26" s="39"/>
      <c r="X26" s="39"/>
      <c r="Y26" s="39"/>
      <c r="Z26" s="39"/>
      <c r="AA26" s="39"/>
      <c r="AB26" s="39"/>
      <c r="AC26" s="39"/>
      <c r="AD26" s="39"/>
      <c r="AE26" s="39"/>
      <c r="AF26" s="39"/>
      <c r="AG26" s="39"/>
      <c r="AH26" s="39"/>
      <c r="AI26" s="39"/>
      <c r="AJ26" s="39"/>
      <c r="AK26" s="39"/>
      <c r="AL26" s="39"/>
      <c r="AN26" s="35">
        <f>SUM(AN20:AN25)</f>
        <v>4504</v>
      </c>
      <c r="AO26" s="36">
        <f>SUM(AO20:AO25)</f>
        <v>1513</v>
      </c>
    </row>
    <row r="27" spans="1:41" s="3" customFormat="1" x14ac:dyDescent="0.2"/>
    <row r="28" spans="1:41" x14ac:dyDescent="0.2">
      <c r="A28" s="28" t="s">
        <v>118</v>
      </c>
    </row>
    <row r="29" spans="1:41" s="3" customFormat="1" x14ac:dyDescent="0.2">
      <c r="A29" s="3" t="s">
        <v>91</v>
      </c>
      <c r="B29" s="3" t="s">
        <v>31</v>
      </c>
      <c r="D29" s="3">
        <f>-D20</f>
        <v>-26</v>
      </c>
      <c r="E29" s="3">
        <f t="shared" ref="E29:M29" si="3">-E20</f>
        <v>-27</v>
      </c>
      <c r="F29" s="3">
        <f t="shared" si="3"/>
        <v>-27</v>
      </c>
      <c r="G29" s="3">
        <f t="shared" si="3"/>
        <v>-27</v>
      </c>
      <c r="H29" s="3">
        <f t="shared" si="3"/>
        <v>-27</v>
      </c>
      <c r="I29" s="3">
        <f t="shared" si="3"/>
        <v>-27</v>
      </c>
      <c r="J29" s="3">
        <f t="shared" si="3"/>
        <v>-27</v>
      </c>
      <c r="K29" s="3">
        <f t="shared" si="3"/>
        <v>-27</v>
      </c>
      <c r="L29" s="3">
        <f t="shared" si="3"/>
        <v>0</v>
      </c>
      <c r="M29" s="3">
        <f t="shared" si="3"/>
        <v>0</v>
      </c>
    </row>
    <row r="30" spans="1:41" s="3" customFormat="1" x14ac:dyDescent="0.2">
      <c r="A30" s="3" t="s">
        <v>93</v>
      </c>
      <c r="B30" s="9" t="s">
        <v>131</v>
      </c>
      <c r="D30" s="6">
        <v>-130</v>
      </c>
      <c r="E30" s="6">
        <v>-130</v>
      </c>
      <c r="F30" s="6">
        <v>-130</v>
      </c>
      <c r="G30" s="6">
        <v>-130</v>
      </c>
      <c r="H30" s="6">
        <v>-130</v>
      </c>
      <c r="I30" s="6">
        <v>-130</v>
      </c>
      <c r="J30" s="6">
        <v>-130</v>
      </c>
      <c r="K30" s="6">
        <v>-130</v>
      </c>
      <c r="L30" s="6">
        <v>-129</v>
      </c>
      <c r="M30" s="6">
        <v>-129</v>
      </c>
      <c r="N30" s="6"/>
      <c r="O30" s="6"/>
      <c r="P30" s="6"/>
      <c r="Q30" s="6"/>
      <c r="R30" s="6"/>
      <c r="S30" s="6"/>
      <c r="T30" s="6"/>
      <c r="U30" s="45"/>
      <c r="V30" s="45"/>
      <c r="W30" s="45"/>
      <c r="X30" s="45"/>
      <c r="Y30" s="45"/>
      <c r="Z30" s="45"/>
      <c r="AA30" s="45"/>
      <c r="AB30" s="45"/>
      <c r="AC30" s="45"/>
      <c r="AD30" s="45"/>
      <c r="AE30" s="45"/>
      <c r="AF30" s="45"/>
      <c r="AG30" s="45"/>
      <c r="AH30" s="45"/>
      <c r="AI30" s="45"/>
      <c r="AJ30" s="45"/>
      <c r="AK30" s="45"/>
      <c r="AL30" s="45"/>
    </row>
    <row r="31" spans="1:41" s="25" customFormat="1" x14ac:dyDescent="0.2">
      <c r="A31" s="25" t="s">
        <v>119</v>
      </c>
      <c r="B31" s="8" t="s">
        <v>31</v>
      </c>
      <c r="D31" s="26">
        <f>SUM(D29:D30)</f>
        <v>-156</v>
      </c>
      <c r="E31" s="26">
        <f t="shared" ref="E31:M31" si="4">SUM(E29:E30)</f>
        <v>-157</v>
      </c>
      <c r="F31" s="26">
        <f t="shared" si="4"/>
        <v>-157</v>
      </c>
      <c r="G31" s="26">
        <f t="shared" si="4"/>
        <v>-157</v>
      </c>
      <c r="H31" s="26">
        <f t="shared" si="4"/>
        <v>-157</v>
      </c>
      <c r="I31" s="26">
        <f t="shared" si="4"/>
        <v>-157</v>
      </c>
      <c r="J31" s="26">
        <f t="shared" si="4"/>
        <v>-157</v>
      </c>
      <c r="K31" s="26">
        <f t="shared" si="4"/>
        <v>-157</v>
      </c>
      <c r="L31" s="26">
        <f t="shared" si="4"/>
        <v>-129</v>
      </c>
      <c r="M31" s="26">
        <f t="shared" si="4"/>
        <v>-129</v>
      </c>
      <c r="N31" s="26"/>
      <c r="O31" s="26"/>
      <c r="P31" s="26"/>
      <c r="Q31" s="26"/>
      <c r="R31" s="26"/>
      <c r="S31" s="26"/>
      <c r="T31" s="26"/>
      <c r="U31" s="39"/>
      <c r="V31" s="39"/>
      <c r="W31" s="39"/>
      <c r="X31" s="39"/>
      <c r="Y31" s="39"/>
      <c r="Z31" s="39"/>
      <c r="AA31" s="39"/>
      <c r="AB31" s="39"/>
      <c r="AC31" s="39"/>
      <c r="AD31" s="39"/>
      <c r="AE31" s="39"/>
      <c r="AF31" s="39"/>
      <c r="AG31" s="39"/>
      <c r="AH31" s="39"/>
      <c r="AI31" s="39"/>
      <c r="AJ31" s="39"/>
      <c r="AK31" s="39"/>
      <c r="AL31" s="39"/>
      <c r="AN31" s="25">
        <f>SUM(C31:AM31)</f>
        <v>-1513</v>
      </c>
    </row>
    <row r="32" spans="1:41" s="3" customFormat="1" x14ac:dyDescent="0.2"/>
    <row r="33" spans="1:41" x14ac:dyDescent="0.2">
      <c r="AN33" s="16" t="s">
        <v>106</v>
      </c>
      <c r="AO33" s="3">
        <f>'Data Input'!$O$16</f>
        <v>4519</v>
      </c>
    </row>
    <row r="34" spans="1:41" x14ac:dyDescent="0.2">
      <c r="A34" s="28" t="s">
        <v>123</v>
      </c>
      <c r="AN34" s="17" t="s">
        <v>125</v>
      </c>
      <c r="AO34" s="17" t="s">
        <v>126</v>
      </c>
    </row>
    <row r="35" spans="1:41" s="3" customFormat="1" x14ac:dyDescent="0.2">
      <c r="A35" s="3" t="s">
        <v>91</v>
      </c>
      <c r="B35" s="3" t="s">
        <v>31</v>
      </c>
      <c r="D35" s="3">
        <f>D20+D29</f>
        <v>0</v>
      </c>
      <c r="E35" s="3">
        <f t="shared" ref="E35:T35" si="5">E20+E29</f>
        <v>0</v>
      </c>
      <c r="F35" s="3">
        <f t="shared" si="5"/>
        <v>0</v>
      </c>
      <c r="G35" s="3">
        <f t="shared" si="5"/>
        <v>0</v>
      </c>
      <c r="H35" s="3">
        <f t="shared" si="5"/>
        <v>0</v>
      </c>
      <c r="I35" s="3">
        <f t="shared" si="5"/>
        <v>0</v>
      </c>
      <c r="J35" s="3">
        <f t="shared" si="5"/>
        <v>0</v>
      </c>
      <c r="K35" s="3">
        <f t="shared" si="5"/>
        <v>0</v>
      </c>
      <c r="L35" s="3">
        <f t="shared" si="5"/>
        <v>0</v>
      </c>
      <c r="M35" s="3">
        <f t="shared" si="5"/>
        <v>0</v>
      </c>
      <c r="N35" s="3">
        <f t="shared" si="5"/>
        <v>0</v>
      </c>
      <c r="O35" s="3">
        <f t="shared" si="5"/>
        <v>0</v>
      </c>
      <c r="P35" s="3">
        <f t="shared" si="5"/>
        <v>0</v>
      </c>
      <c r="Q35" s="3">
        <f t="shared" si="5"/>
        <v>0</v>
      </c>
      <c r="R35" s="3">
        <f t="shared" si="5"/>
        <v>0</v>
      </c>
      <c r="S35" s="3">
        <f t="shared" si="5"/>
        <v>0</v>
      </c>
      <c r="T35" s="3">
        <f t="shared" si="5"/>
        <v>0</v>
      </c>
      <c r="AN35" s="3">
        <f>SUM(H35:AM35)</f>
        <v>0</v>
      </c>
    </row>
    <row r="36" spans="1:41" s="3" customFormat="1" x14ac:dyDescent="0.2">
      <c r="A36" s="3" t="s">
        <v>92</v>
      </c>
      <c r="B36" s="3" t="s">
        <v>108</v>
      </c>
      <c r="D36" s="3">
        <f>'experience g(l)'!I41</f>
        <v>-50</v>
      </c>
      <c r="E36" s="3">
        <f>'experience g(l)'!J41</f>
        <v>-50</v>
      </c>
      <c r="F36" s="3">
        <f>'experience g(l)'!K41</f>
        <v>-50</v>
      </c>
      <c r="G36" s="3">
        <f>'experience g(l)'!L41</f>
        <v>-50</v>
      </c>
      <c r="H36" s="3">
        <f>'experience g(l)'!M41</f>
        <v>-50</v>
      </c>
      <c r="I36" s="3">
        <f>'experience g(l)'!N41</f>
        <v>-49</v>
      </c>
      <c r="J36" s="3">
        <f>'experience g(l)'!O41</f>
        <v>-49</v>
      </c>
      <c r="K36" s="3">
        <f>'experience g(l)'!P41</f>
        <v>-49</v>
      </c>
      <c r="L36" s="3">
        <f>'experience g(l)'!Q41</f>
        <v>-49</v>
      </c>
      <c r="M36" s="3">
        <f>'experience g(l)'!R41</f>
        <v>0</v>
      </c>
      <c r="N36" s="3">
        <f>'experience g(l)'!S41</f>
        <v>0</v>
      </c>
      <c r="O36" s="3">
        <f>'experience g(l)'!T41</f>
        <v>0</v>
      </c>
      <c r="P36" s="3">
        <f>'experience g(l)'!U41</f>
        <v>0</v>
      </c>
      <c r="Q36" s="3">
        <f>'experience g(l)'!V41</f>
        <v>0</v>
      </c>
      <c r="R36" s="3">
        <f>'experience g(l)'!W41</f>
        <v>0</v>
      </c>
      <c r="S36" s="3">
        <f>'experience g(l)'!X41</f>
        <v>0</v>
      </c>
      <c r="T36" s="3">
        <f>'experience g(l)'!Y41</f>
        <v>0</v>
      </c>
      <c r="AN36" s="3">
        <f t="shared" ref="AN36:AN44" si="6">SUM(H36:AM36)</f>
        <v>-246</v>
      </c>
    </row>
    <row r="37" spans="1:41" s="3" customFormat="1" x14ac:dyDescent="0.2">
      <c r="A37" s="3" t="s">
        <v>93</v>
      </c>
      <c r="B37" s="3" t="s">
        <v>31</v>
      </c>
      <c r="D37" s="3">
        <f>D22+D30</f>
        <v>66</v>
      </c>
      <c r="E37" s="3">
        <f t="shared" ref="E37:T37" si="7">E22+E30</f>
        <v>66</v>
      </c>
      <c r="F37" s="3">
        <f t="shared" si="7"/>
        <v>66</v>
      </c>
      <c r="G37" s="3">
        <f t="shared" si="7"/>
        <v>66</v>
      </c>
      <c r="H37" s="3">
        <f t="shared" si="7"/>
        <v>66</v>
      </c>
      <c r="I37" s="3">
        <f t="shared" si="7"/>
        <v>66</v>
      </c>
      <c r="J37" s="3">
        <f t="shared" si="7"/>
        <v>66</v>
      </c>
      <c r="K37" s="3">
        <f t="shared" si="7"/>
        <v>66</v>
      </c>
      <c r="L37" s="3">
        <f t="shared" si="7"/>
        <v>67</v>
      </c>
      <c r="M37" s="3">
        <f t="shared" si="7"/>
        <v>66</v>
      </c>
      <c r="N37" s="3">
        <f t="shared" si="7"/>
        <v>0</v>
      </c>
      <c r="O37" s="3">
        <f t="shared" si="7"/>
        <v>0</v>
      </c>
      <c r="P37" s="3">
        <f t="shared" si="7"/>
        <v>0</v>
      </c>
      <c r="Q37" s="3">
        <f t="shared" si="7"/>
        <v>0</v>
      </c>
      <c r="R37" s="3">
        <f t="shared" si="7"/>
        <v>0</v>
      </c>
      <c r="S37" s="3">
        <f t="shared" si="7"/>
        <v>0</v>
      </c>
      <c r="T37" s="3">
        <f t="shared" si="7"/>
        <v>0</v>
      </c>
      <c r="AN37" s="3">
        <f t="shared" si="6"/>
        <v>397</v>
      </c>
      <c r="AO37" s="3">
        <v>397</v>
      </c>
    </row>
    <row r="38" spans="1:41" s="3" customFormat="1" x14ac:dyDescent="0.2">
      <c r="A38" s="3" t="s">
        <v>94</v>
      </c>
      <c r="B38" s="3" t="s">
        <v>108</v>
      </c>
      <c r="D38" s="3">
        <f>'experience g(l)'!I43</f>
        <v>-109</v>
      </c>
      <c r="E38" s="3">
        <f>'experience g(l)'!J43</f>
        <v>-109</v>
      </c>
      <c r="F38" s="3">
        <f>'experience g(l)'!K43</f>
        <v>-109</v>
      </c>
      <c r="G38" s="3">
        <f>'experience g(l)'!L43</f>
        <v>-109</v>
      </c>
      <c r="H38" s="3">
        <f>'experience g(l)'!M43</f>
        <v>-109</v>
      </c>
      <c r="I38" s="3">
        <f>'experience g(l)'!N43</f>
        <v>-109</v>
      </c>
      <c r="J38" s="3">
        <f>'experience g(l)'!O43</f>
        <v>-110</v>
      </c>
      <c r="K38" s="3">
        <f>'experience g(l)'!P43</f>
        <v>-110</v>
      </c>
      <c r="L38" s="3">
        <f>'experience g(l)'!Q43</f>
        <v>-110</v>
      </c>
      <c r="M38" s="3">
        <f>'experience g(l)'!R43</f>
        <v>-110</v>
      </c>
      <c r="N38" s="3">
        <f>'experience g(l)'!S43</f>
        <v>-110</v>
      </c>
      <c r="O38" s="3">
        <f>'experience g(l)'!T43</f>
        <v>0</v>
      </c>
      <c r="P38" s="3">
        <f>'experience g(l)'!U43</f>
        <v>0</v>
      </c>
      <c r="Q38" s="3">
        <f>'experience g(l)'!V43</f>
        <v>0</v>
      </c>
      <c r="R38" s="3">
        <f>'experience g(l)'!W43</f>
        <v>0</v>
      </c>
      <c r="S38" s="3">
        <f>'experience g(l)'!X43</f>
        <v>0</v>
      </c>
      <c r="T38" s="3">
        <f>'experience g(l)'!Y43</f>
        <v>0</v>
      </c>
      <c r="AN38" s="3">
        <f t="shared" si="6"/>
        <v>-768</v>
      </c>
    </row>
    <row r="39" spans="1:41" s="3" customFormat="1" x14ac:dyDescent="0.2">
      <c r="A39" s="3" t="s">
        <v>95</v>
      </c>
      <c r="B39" s="3" t="s">
        <v>108</v>
      </c>
      <c r="D39" s="3">
        <f>'experience g(l)'!I44</f>
        <v>145</v>
      </c>
      <c r="E39" s="3">
        <f>'experience g(l)'!J44</f>
        <v>145</v>
      </c>
      <c r="F39" s="3">
        <f>'experience g(l)'!K44</f>
        <v>145</v>
      </c>
      <c r="G39" s="3">
        <f>'experience g(l)'!L44</f>
        <v>145</v>
      </c>
      <c r="H39" s="3">
        <f>'experience g(l)'!M44</f>
        <v>145</v>
      </c>
      <c r="I39" s="3">
        <f>'experience g(l)'!N44</f>
        <v>145</v>
      </c>
      <c r="J39" s="3">
        <f>'experience g(l)'!O44</f>
        <v>146</v>
      </c>
      <c r="K39" s="3">
        <f>'experience g(l)'!P44</f>
        <v>146</v>
      </c>
      <c r="L39" s="3">
        <f>'experience g(l)'!Q44</f>
        <v>146</v>
      </c>
      <c r="M39" s="3">
        <f>'experience g(l)'!R44</f>
        <v>146</v>
      </c>
      <c r="N39" s="3">
        <f>'experience g(l)'!S44</f>
        <v>146</v>
      </c>
      <c r="O39" s="3">
        <f>'experience g(l)'!T44</f>
        <v>146</v>
      </c>
      <c r="P39" s="3">
        <f>'experience g(l)'!U44</f>
        <v>0</v>
      </c>
      <c r="Q39" s="3">
        <f>'experience g(l)'!V44</f>
        <v>0</v>
      </c>
      <c r="R39" s="3">
        <f>'experience g(l)'!W44</f>
        <v>0</v>
      </c>
      <c r="S39" s="3">
        <f>'experience g(l)'!X44</f>
        <v>0</v>
      </c>
      <c r="T39" s="3">
        <f>'experience g(l)'!Y44</f>
        <v>0</v>
      </c>
      <c r="AN39" s="3">
        <f t="shared" si="6"/>
        <v>1166</v>
      </c>
      <c r="AO39" s="3">
        <v>1166</v>
      </c>
    </row>
    <row r="40" spans="1:41" s="3" customFormat="1" x14ac:dyDescent="0.2">
      <c r="A40" s="3" t="s">
        <v>96</v>
      </c>
      <c r="B40" s="3" t="s">
        <v>108</v>
      </c>
      <c r="D40" s="3">
        <f>'experience g(l)'!I45</f>
        <v>172</v>
      </c>
      <c r="E40" s="3">
        <f>'experience g(l)'!J45</f>
        <v>172</v>
      </c>
      <c r="F40" s="3">
        <f>'experience g(l)'!K45</f>
        <v>172</v>
      </c>
      <c r="G40" s="3">
        <f>'experience g(l)'!L45</f>
        <v>172</v>
      </c>
      <c r="H40" s="3">
        <f>'experience g(l)'!M45</f>
        <v>172</v>
      </c>
      <c r="I40" s="3">
        <f>'experience g(l)'!N45</f>
        <v>172</v>
      </c>
      <c r="J40" s="3">
        <f>'experience g(l)'!O45</f>
        <v>172</v>
      </c>
      <c r="K40" s="3">
        <f>'experience g(l)'!P45</f>
        <v>172</v>
      </c>
      <c r="L40" s="3">
        <f>'experience g(l)'!Q45</f>
        <v>172</v>
      </c>
      <c r="M40" s="3">
        <f>'experience g(l)'!R45</f>
        <v>172</v>
      </c>
      <c r="N40" s="3">
        <f>'experience g(l)'!S45</f>
        <v>172</v>
      </c>
      <c r="O40" s="3">
        <f>'experience g(l)'!T45</f>
        <v>171</v>
      </c>
      <c r="P40" s="3">
        <f>'experience g(l)'!U45</f>
        <v>171</v>
      </c>
      <c r="Q40" s="3">
        <f>'experience g(l)'!V45</f>
        <v>0</v>
      </c>
      <c r="R40" s="3">
        <f>'experience g(l)'!W45</f>
        <v>0</v>
      </c>
      <c r="S40" s="3">
        <f>'experience g(l)'!X45</f>
        <v>0</v>
      </c>
      <c r="T40" s="3">
        <f>'experience g(l)'!Y45</f>
        <v>0</v>
      </c>
      <c r="AN40" s="3">
        <f t="shared" si="6"/>
        <v>1546</v>
      </c>
      <c r="AO40" s="3">
        <v>1546</v>
      </c>
    </row>
    <row r="41" spans="1:41" s="3" customFormat="1" x14ac:dyDescent="0.2">
      <c r="A41" s="3" t="s">
        <v>97</v>
      </c>
      <c r="B41" s="3" t="s">
        <v>108</v>
      </c>
      <c r="D41" s="3">
        <f>'experience g(l)'!I46</f>
        <v>215</v>
      </c>
      <c r="E41" s="3">
        <f>'experience g(l)'!J46</f>
        <v>215</v>
      </c>
      <c r="F41" s="3">
        <f>'experience g(l)'!K46</f>
        <v>215</v>
      </c>
      <c r="G41" s="3">
        <f>'experience g(l)'!L46</f>
        <v>215</v>
      </c>
      <c r="H41" s="3">
        <f>'experience g(l)'!M46</f>
        <v>215</v>
      </c>
      <c r="I41" s="3">
        <f>'experience g(l)'!N46</f>
        <v>215</v>
      </c>
      <c r="J41" s="3">
        <f>'experience g(l)'!O46</f>
        <v>215</v>
      </c>
      <c r="K41" s="3">
        <f>'experience g(l)'!P46</f>
        <v>215</v>
      </c>
      <c r="L41" s="3">
        <f>'experience g(l)'!Q46</f>
        <v>216</v>
      </c>
      <c r="M41" s="3">
        <f>'experience g(l)'!R46</f>
        <v>216</v>
      </c>
      <c r="N41" s="3">
        <f>'experience g(l)'!S46</f>
        <v>216</v>
      </c>
      <c r="O41" s="3">
        <f>'experience g(l)'!T46</f>
        <v>216</v>
      </c>
      <c r="P41" s="3">
        <f>'experience g(l)'!U46</f>
        <v>216</v>
      </c>
      <c r="Q41" s="3">
        <f>'experience g(l)'!V46</f>
        <v>0</v>
      </c>
      <c r="R41" s="3">
        <f>'experience g(l)'!W46</f>
        <v>0</v>
      </c>
      <c r="S41" s="3">
        <f>'experience g(l)'!X46</f>
        <v>0</v>
      </c>
      <c r="T41" s="3">
        <f>'experience g(l)'!Y46</f>
        <v>0</v>
      </c>
      <c r="AN41" s="3">
        <f t="shared" si="6"/>
        <v>1940</v>
      </c>
      <c r="AO41" s="3">
        <v>1410</v>
      </c>
    </row>
    <row r="42" spans="1:41" s="3" customFormat="1" x14ac:dyDescent="0.2">
      <c r="A42" s="3" t="s">
        <v>98</v>
      </c>
      <c r="B42" s="3" t="s">
        <v>108</v>
      </c>
      <c r="E42" s="3">
        <f>'experience g(l)'!J47</f>
        <v>212</v>
      </c>
      <c r="F42" s="3">
        <f>'experience g(l)'!K47</f>
        <v>212</v>
      </c>
      <c r="G42" s="3">
        <f>'experience g(l)'!L47</f>
        <v>212</v>
      </c>
      <c r="H42" s="3">
        <f>'experience g(l)'!M47</f>
        <v>212</v>
      </c>
      <c r="I42" s="3">
        <f>'experience g(l)'!N47</f>
        <v>212</v>
      </c>
      <c r="J42" s="3">
        <f>'experience g(l)'!O47</f>
        <v>212</v>
      </c>
      <c r="K42" s="3">
        <f>'experience g(l)'!P47</f>
        <v>212</v>
      </c>
      <c r="L42" s="3">
        <f>'experience g(l)'!Q47</f>
        <v>212</v>
      </c>
      <c r="M42" s="3">
        <f>'experience g(l)'!R47</f>
        <v>212</v>
      </c>
      <c r="N42" s="3">
        <f>'experience g(l)'!S47</f>
        <v>212</v>
      </c>
      <c r="O42" s="3">
        <f>'experience g(l)'!T47</f>
        <v>211</v>
      </c>
      <c r="P42" s="3">
        <f>'experience g(l)'!U47</f>
        <v>211</v>
      </c>
      <c r="Q42" s="3">
        <f>'experience g(l)'!V47</f>
        <v>211</v>
      </c>
      <c r="R42" s="3">
        <f>'experience g(l)'!W47</f>
        <v>0</v>
      </c>
      <c r="S42" s="3">
        <f>'experience g(l)'!X47</f>
        <v>0</v>
      </c>
      <c r="T42" s="3">
        <f>'experience g(l)'!Y47</f>
        <v>0</v>
      </c>
      <c r="AN42" s="3">
        <f t="shared" si="6"/>
        <v>2117</v>
      </c>
    </row>
    <row r="43" spans="1:41" s="3" customFormat="1" x14ac:dyDescent="0.2">
      <c r="A43" s="3" t="s">
        <v>99</v>
      </c>
      <c r="B43" s="3" t="s">
        <v>108</v>
      </c>
      <c r="E43" s="3">
        <f>'experience g(l)'!J48</f>
        <v>0</v>
      </c>
      <c r="F43" s="3">
        <f>'experience g(l)'!K48</f>
        <v>319</v>
      </c>
      <c r="G43" s="3">
        <f>'experience g(l)'!L48</f>
        <v>319</v>
      </c>
      <c r="H43" s="3">
        <f>'experience g(l)'!M48</f>
        <v>319</v>
      </c>
      <c r="I43" s="3">
        <f>'experience g(l)'!N48</f>
        <v>319</v>
      </c>
      <c r="J43" s="3">
        <f>'experience g(l)'!O48</f>
        <v>319</v>
      </c>
      <c r="K43" s="3">
        <f>'experience g(l)'!P48</f>
        <v>319</v>
      </c>
      <c r="L43" s="3">
        <f>'experience g(l)'!Q48</f>
        <v>319</v>
      </c>
      <c r="M43" s="3">
        <f>'experience g(l)'!R48</f>
        <v>319</v>
      </c>
      <c r="N43" s="3">
        <f>'experience g(l)'!S48</f>
        <v>319</v>
      </c>
      <c r="O43" s="3">
        <f>'experience g(l)'!T48</f>
        <v>319</v>
      </c>
      <c r="P43" s="3">
        <f>'experience g(l)'!U48</f>
        <v>319</v>
      </c>
      <c r="Q43" s="3">
        <f>'experience g(l)'!V48</f>
        <v>319</v>
      </c>
      <c r="R43" s="3">
        <f>'experience g(l)'!W48</f>
        <v>319</v>
      </c>
      <c r="S43" s="3">
        <f>'experience g(l)'!X48</f>
        <v>319</v>
      </c>
      <c r="T43" s="3">
        <f>'experience g(l)'!Y48</f>
        <v>0</v>
      </c>
      <c r="AN43" s="3">
        <f t="shared" si="6"/>
        <v>3828</v>
      </c>
    </row>
    <row r="44" spans="1:41" s="3" customFormat="1" x14ac:dyDescent="0.2">
      <c r="A44" s="3" t="s">
        <v>100</v>
      </c>
      <c r="B44" s="3" t="s">
        <v>108</v>
      </c>
      <c r="D44" s="6"/>
      <c r="E44" s="6">
        <f>'experience g(l)'!J49</f>
        <v>0</v>
      </c>
      <c r="F44" s="6">
        <f>'experience g(l)'!K49</f>
        <v>0</v>
      </c>
      <c r="G44" s="6">
        <f>'experience g(l)'!L49</f>
        <v>165</v>
      </c>
      <c r="H44" s="6">
        <f>'experience g(l)'!M49</f>
        <v>165</v>
      </c>
      <c r="I44" s="6">
        <f>'experience g(l)'!N49</f>
        <v>165</v>
      </c>
      <c r="J44" s="6">
        <f>'experience g(l)'!O49</f>
        <v>165</v>
      </c>
      <c r="K44" s="6">
        <f>'experience g(l)'!P49</f>
        <v>165</v>
      </c>
      <c r="L44" s="6">
        <f>'experience g(l)'!Q49</f>
        <v>165</v>
      </c>
      <c r="M44" s="6">
        <f>'experience g(l)'!R49</f>
        <v>165</v>
      </c>
      <c r="N44" s="6">
        <f>'experience g(l)'!S49</f>
        <v>165</v>
      </c>
      <c r="O44" s="6">
        <f>'experience g(l)'!T49</f>
        <v>165</v>
      </c>
      <c r="P44" s="6">
        <f>'experience g(l)'!U49</f>
        <v>166</v>
      </c>
      <c r="Q44" s="6">
        <f>'experience g(l)'!V49</f>
        <v>166</v>
      </c>
      <c r="R44" s="6">
        <f>'experience g(l)'!W49</f>
        <v>166</v>
      </c>
      <c r="S44" s="6">
        <f>'experience g(l)'!X49</f>
        <v>166</v>
      </c>
      <c r="T44" s="6">
        <f>'experience g(l)'!Y49</f>
        <v>166</v>
      </c>
      <c r="U44" s="45"/>
      <c r="V44" s="45"/>
      <c r="W44" s="45"/>
      <c r="X44" s="45"/>
      <c r="Y44" s="45"/>
      <c r="Z44" s="45"/>
      <c r="AA44" s="45"/>
      <c r="AB44" s="45"/>
      <c r="AC44" s="45"/>
      <c r="AD44" s="45"/>
      <c r="AE44" s="45"/>
      <c r="AF44" s="45"/>
      <c r="AG44" s="45"/>
      <c r="AH44" s="45"/>
      <c r="AI44" s="45"/>
      <c r="AJ44" s="45"/>
      <c r="AK44" s="45"/>
      <c r="AL44" s="45"/>
      <c r="AN44" s="3">
        <f t="shared" si="6"/>
        <v>2150</v>
      </c>
    </row>
    <row r="45" spans="1:41" s="25" customFormat="1" x14ac:dyDescent="0.2">
      <c r="A45" s="25" t="s">
        <v>124</v>
      </c>
      <c r="D45" s="26">
        <f>SUM(D35:D44)</f>
        <v>439</v>
      </c>
      <c r="E45" s="26">
        <f t="shared" ref="E45:AO45" si="8">SUM(E35:E44)</f>
        <v>651</v>
      </c>
      <c r="F45" s="26">
        <f t="shared" si="8"/>
        <v>970</v>
      </c>
      <c r="G45" s="26">
        <f t="shared" si="8"/>
        <v>1135</v>
      </c>
      <c r="H45" s="26">
        <f t="shared" si="8"/>
        <v>1135</v>
      </c>
      <c r="I45" s="26">
        <f t="shared" si="8"/>
        <v>1136</v>
      </c>
      <c r="J45" s="26">
        <f t="shared" si="8"/>
        <v>1136</v>
      </c>
      <c r="K45" s="26">
        <f t="shared" si="8"/>
        <v>1136</v>
      </c>
      <c r="L45" s="26">
        <f t="shared" si="8"/>
        <v>1138</v>
      </c>
      <c r="M45" s="26">
        <f t="shared" si="8"/>
        <v>1186</v>
      </c>
      <c r="N45" s="26">
        <f t="shared" si="8"/>
        <v>1120</v>
      </c>
      <c r="O45" s="26">
        <f t="shared" si="8"/>
        <v>1228</v>
      </c>
      <c r="P45" s="26">
        <f t="shared" si="8"/>
        <v>1083</v>
      </c>
      <c r="Q45" s="26">
        <f t="shared" si="8"/>
        <v>696</v>
      </c>
      <c r="R45" s="26">
        <f t="shared" si="8"/>
        <v>485</v>
      </c>
      <c r="S45" s="26">
        <f t="shared" si="8"/>
        <v>485</v>
      </c>
      <c r="T45" s="26">
        <f t="shared" si="8"/>
        <v>166</v>
      </c>
      <c r="U45" s="39"/>
      <c r="V45" s="39"/>
      <c r="W45" s="39"/>
      <c r="X45" s="39"/>
      <c r="Y45" s="39"/>
      <c r="Z45" s="39"/>
      <c r="AA45" s="39"/>
      <c r="AB45" s="39"/>
      <c r="AC45" s="39"/>
      <c r="AD45" s="39"/>
      <c r="AE45" s="39"/>
      <c r="AF45" s="39"/>
      <c r="AG45" s="39"/>
      <c r="AH45" s="39"/>
      <c r="AI45" s="39"/>
      <c r="AJ45" s="39"/>
      <c r="AK45" s="39"/>
      <c r="AL45" s="39"/>
      <c r="AN45" s="26">
        <f t="shared" si="8"/>
        <v>12130</v>
      </c>
      <c r="AO45" s="26">
        <f t="shared" si="8"/>
        <v>4519</v>
      </c>
    </row>
    <row r="46" spans="1:41" s="3" customFormat="1" x14ac:dyDescent="0.2"/>
    <row r="47" spans="1:41" s="3" customFormat="1" x14ac:dyDescent="0.2">
      <c r="A47" s="28" t="s">
        <v>127</v>
      </c>
    </row>
    <row r="48" spans="1:41" s="3" customFormat="1" x14ac:dyDescent="0.2">
      <c r="A48" s="3" t="s">
        <v>93</v>
      </c>
      <c r="B48" s="3" t="s">
        <v>31</v>
      </c>
      <c r="H48" s="3">
        <f>-H37</f>
        <v>-66</v>
      </c>
      <c r="I48" s="3">
        <f t="shared" ref="I48:O48" si="9">-I37</f>
        <v>-66</v>
      </c>
      <c r="J48" s="3">
        <f t="shared" si="9"/>
        <v>-66</v>
      </c>
      <c r="K48" s="3">
        <f t="shared" si="9"/>
        <v>-66</v>
      </c>
      <c r="L48" s="3">
        <f t="shared" si="9"/>
        <v>-67</v>
      </c>
      <c r="M48" s="3">
        <f t="shared" si="9"/>
        <v>-66</v>
      </c>
      <c r="N48" s="3">
        <f t="shared" si="9"/>
        <v>0</v>
      </c>
      <c r="O48" s="3">
        <f t="shared" si="9"/>
        <v>0</v>
      </c>
      <c r="P48" s="3">
        <f>-P37</f>
        <v>0</v>
      </c>
      <c r="AN48" s="3">
        <f>SUM(H48:AM48)</f>
        <v>-397</v>
      </c>
    </row>
    <row r="49" spans="1:40" s="3" customFormat="1" x14ac:dyDescent="0.2">
      <c r="A49" s="3" t="s">
        <v>95</v>
      </c>
      <c r="B49" s="3" t="s">
        <v>31</v>
      </c>
      <c r="H49" s="3">
        <f>-H39</f>
        <v>-145</v>
      </c>
      <c r="I49" s="3">
        <f t="shared" ref="I49:O49" si="10">-I39</f>
        <v>-145</v>
      </c>
      <c r="J49" s="3">
        <f t="shared" si="10"/>
        <v>-146</v>
      </c>
      <c r="K49" s="3">
        <f t="shared" si="10"/>
        <v>-146</v>
      </c>
      <c r="L49" s="3">
        <f t="shared" si="10"/>
        <v>-146</v>
      </c>
      <c r="M49" s="3">
        <f t="shared" si="10"/>
        <v>-146</v>
      </c>
      <c r="N49" s="3">
        <f t="shared" si="10"/>
        <v>-146</v>
      </c>
      <c r="O49" s="3">
        <f t="shared" si="10"/>
        <v>-146</v>
      </c>
      <c r="P49" s="3">
        <f>-P39</f>
        <v>0</v>
      </c>
      <c r="AN49" s="3">
        <f>SUM(H49:AM49)</f>
        <v>-1166</v>
      </c>
    </row>
    <row r="50" spans="1:40" s="3" customFormat="1" x14ac:dyDescent="0.2">
      <c r="A50" s="3" t="s">
        <v>96</v>
      </c>
      <c r="B50" s="3" t="s">
        <v>31</v>
      </c>
      <c r="H50" s="3">
        <f>-H40</f>
        <v>-172</v>
      </c>
      <c r="I50" s="3">
        <f t="shared" ref="I50:O50" si="11">-I40</f>
        <v>-172</v>
      </c>
      <c r="J50" s="3">
        <f t="shared" si="11"/>
        <v>-172</v>
      </c>
      <c r="K50" s="3">
        <f t="shared" si="11"/>
        <v>-172</v>
      </c>
      <c r="L50" s="3">
        <f t="shared" si="11"/>
        <v>-172</v>
      </c>
      <c r="M50" s="3">
        <f t="shared" si="11"/>
        <v>-172</v>
      </c>
      <c r="N50" s="3">
        <f t="shared" si="11"/>
        <v>-172</v>
      </c>
      <c r="O50" s="3">
        <f t="shared" si="11"/>
        <v>-171</v>
      </c>
      <c r="P50" s="3">
        <f>-P40</f>
        <v>-171</v>
      </c>
      <c r="AN50" s="3">
        <f>SUM(H50:AM50)</f>
        <v>-1546</v>
      </c>
    </row>
    <row r="51" spans="1:40" s="3" customFormat="1" x14ac:dyDescent="0.2">
      <c r="A51" s="3" t="s">
        <v>97</v>
      </c>
      <c r="B51" s="9" t="s">
        <v>131</v>
      </c>
      <c r="H51" s="6">
        <v>-156</v>
      </c>
      <c r="I51" s="6">
        <v>-156</v>
      </c>
      <c r="J51" s="6">
        <v>-156</v>
      </c>
      <c r="K51" s="6">
        <v>-157</v>
      </c>
      <c r="L51" s="6">
        <v>-157</v>
      </c>
      <c r="M51" s="6">
        <v>-157</v>
      </c>
      <c r="N51" s="6">
        <v>-157</v>
      </c>
      <c r="O51" s="6">
        <v>-157</v>
      </c>
      <c r="P51" s="6">
        <v>-157</v>
      </c>
      <c r="Q51" s="6"/>
      <c r="R51" s="6"/>
      <c r="S51" s="6"/>
      <c r="T51" s="6"/>
      <c r="U51" s="45"/>
      <c r="V51" s="45"/>
      <c r="W51" s="45"/>
      <c r="X51" s="45"/>
      <c r="Y51" s="45"/>
      <c r="Z51" s="45"/>
      <c r="AA51" s="45"/>
      <c r="AB51" s="45"/>
      <c r="AC51" s="45"/>
      <c r="AD51" s="45"/>
      <c r="AE51" s="45"/>
      <c r="AF51" s="45"/>
      <c r="AG51" s="45"/>
      <c r="AH51" s="45"/>
      <c r="AI51" s="45"/>
      <c r="AJ51" s="45"/>
      <c r="AK51" s="45"/>
      <c r="AL51" s="45"/>
      <c r="AN51" s="3">
        <f>SUM(H51:AM51)</f>
        <v>-1410</v>
      </c>
    </row>
    <row r="52" spans="1:40" s="25" customFormat="1" x14ac:dyDescent="0.2">
      <c r="A52" s="25" t="s">
        <v>128</v>
      </c>
      <c r="B52" s="3" t="s">
        <v>31</v>
      </c>
      <c r="H52" s="26">
        <f>SUM(H48:H51)</f>
        <v>-539</v>
      </c>
      <c r="I52" s="26">
        <f t="shared" ref="I52:O52" si="12">SUM(I48:I51)</f>
        <v>-539</v>
      </c>
      <c r="J52" s="26">
        <f t="shared" si="12"/>
        <v>-540</v>
      </c>
      <c r="K52" s="26">
        <f t="shared" si="12"/>
        <v>-541</v>
      </c>
      <c r="L52" s="26">
        <f t="shared" si="12"/>
        <v>-542</v>
      </c>
      <c r="M52" s="26">
        <f t="shared" si="12"/>
        <v>-541</v>
      </c>
      <c r="N52" s="26">
        <f t="shared" si="12"/>
        <v>-475</v>
      </c>
      <c r="O52" s="26">
        <f t="shared" si="12"/>
        <v>-474</v>
      </c>
      <c r="P52" s="26">
        <f>SUM(P48:P51)</f>
        <v>-328</v>
      </c>
      <c r="Q52" s="26"/>
      <c r="R52" s="26"/>
      <c r="S52" s="26"/>
      <c r="T52" s="26"/>
      <c r="U52" s="39"/>
      <c r="V52" s="39"/>
      <c r="W52" s="39"/>
      <c r="X52" s="39"/>
      <c r="Y52" s="39"/>
      <c r="Z52" s="39"/>
      <c r="AA52" s="39"/>
      <c r="AB52" s="39"/>
      <c r="AC52" s="39"/>
      <c r="AD52" s="39"/>
      <c r="AE52" s="39"/>
      <c r="AF52" s="39"/>
      <c r="AG52" s="39"/>
      <c r="AH52" s="39"/>
      <c r="AI52" s="39"/>
      <c r="AJ52" s="39"/>
      <c r="AK52" s="39"/>
      <c r="AL52" s="39"/>
      <c r="AN52" s="26">
        <f>SUM(AN48:AN51)</f>
        <v>-4519</v>
      </c>
    </row>
    <row r="53" spans="1:40" s="3" customFormat="1" x14ac:dyDescent="0.2"/>
    <row r="54" spans="1:40" s="3" customFormat="1" x14ac:dyDescent="0.2">
      <c r="AN54" s="16" t="s">
        <v>106</v>
      </c>
    </row>
    <row r="55" spans="1:40" s="3" customFormat="1" x14ac:dyDescent="0.2">
      <c r="A55" s="28" t="s">
        <v>129</v>
      </c>
      <c r="AN55" s="399" t="s">
        <v>447</v>
      </c>
    </row>
    <row r="56" spans="1:40" s="3" customFormat="1" x14ac:dyDescent="0.2">
      <c r="A56" s="3" t="s">
        <v>92</v>
      </c>
      <c r="B56" s="3" t="s">
        <v>108</v>
      </c>
      <c r="H56" s="3">
        <f>'experience g(l)'!M41</f>
        <v>-50</v>
      </c>
      <c r="I56" s="3">
        <f>'experience g(l)'!N41</f>
        <v>-49</v>
      </c>
      <c r="J56" s="3">
        <f>'experience g(l)'!O41</f>
        <v>-49</v>
      </c>
      <c r="K56" s="3">
        <f>'experience g(l)'!P41</f>
        <v>-49</v>
      </c>
      <c r="L56" s="3">
        <f>'experience g(l)'!Q41</f>
        <v>-49</v>
      </c>
      <c r="AN56" s="3">
        <f>SUM(W56:AL56)</f>
        <v>0</v>
      </c>
    </row>
    <row r="57" spans="1:40" s="3" customFormat="1" x14ac:dyDescent="0.2">
      <c r="A57" s="3" t="s">
        <v>94</v>
      </c>
      <c r="B57" s="3" t="s">
        <v>108</v>
      </c>
      <c r="H57" s="3">
        <f>'experience g(l)'!M43</f>
        <v>-109</v>
      </c>
      <c r="I57" s="3">
        <f>'experience g(l)'!N43</f>
        <v>-109</v>
      </c>
      <c r="J57" s="3">
        <f>'experience g(l)'!O43</f>
        <v>-110</v>
      </c>
      <c r="K57" s="3">
        <f>'experience g(l)'!P43</f>
        <v>-110</v>
      </c>
      <c r="L57" s="3">
        <f>'experience g(l)'!Q43</f>
        <v>-110</v>
      </c>
      <c r="M57" s="3">
        <f>'experience g(l)'!R43</f>
        <v>-110</v>
      </c>
      <c r="N57" s="3">
        <f>'experience g(l)'!S43</f>
        <v>-110</v>
      </c>
      <c r="AN57" s="3">
        <f t="shared" ref="AN57:AN76" si="13">SUM(W57:AL57)</f>
        <v>0</v>
      </c>
    </row>
    <row r="58" spans="1:40" s="3" customFormat="1" x14ac:dyDescent="0.2">
      <c r="A58" t="s">
        <v>97</v>
      </c>
      <c r="B58" s="3" t="s">
        <v>31</v>
      </c>
      <c r="H58" s="3">
        <f>H41+H51</f>
        <v>59</v>
      </c>
      <c r="I58" s="3">
        <f t="shared" ref="I58:P58" si="14">I41+I51</f>
        <v>59</v>
      </c>
      <c r="J58" s="3">
        <f t="shared" si="14"/>
        <v>59</v>
      </c>
      <c r="K58" s="3">
        <f t="shared" si="14"/>
        <v>58</v>
      </c>
      <c r="L58" s="3">
        <f t="shared" si="14"/>
        <v>59</v>
      </c>
      <c r="M58" s="3">
        <f t="shared" si="14"/>
        <v>59</v>
      </c>
      <c r="N58" s="3">
        <f t="shared" si="14"/>
        <v>59</v>
      </c>
      <c r="O58" s="3">
        <f t="shared" si="14"/>
        <v>59</v>
      </c>
      <c r="P58" s="3">
        <f t="shared" si="14"/>
        <v>59</v>
      </c>
      <c r="AN58" s="3">
        <f t="shared" si="13"/>
        <v>0</v>
      </c>
    </row>
    <row r="59" spans="1:40" s="3" customFormat="1" x14ac:dyDescent="0.2">
      <c r="A59" t="s">
        <v>98</v>
      </c>
      <c r="B59" s="3" t="s">
        <v>108</v>
      </c>
      <c r="H59" s="3">
        <f>'experience g(l)'!M47</f>
        <v>212</v>
      </c>
      <c r="I59" s="3">
        <f>'experience g(l)'!N47</f>
        <v>212</v>
      </c>
      <c r="J59" s="3">
        <f>'experience g(l)'!O47</f>
        <v>212</v>
      </c>
      <c r="K59" s="3">
        <f>'experience g(l)'!P47</f>
        <v>212</v>
      </c>
      <c r="L59" s="3">
        <f>'experience g(l)'!Q47</f>
        <v>212</v>
      </c>
      <c r="M59" s="3">
        <f>'experience g(l)'!R47</f>
        <v>212</v>
      </c>
      <c r="N59" s="3">
        <f>'experience g(l)'!S47</f>
        <v>212</v>
      </c>
      <c r="O59" s="3">
        <f>'experience g(l)'!T47</f>
        <v>211</v>
      </c>
      <c r="P59" s="3">
        <f>'experience g(l)'!U47</f>
        <v>211</v>
      </c>
      <c r="Q59" s="3">
        <f>'experience g(l)'!V47</f>
        <v>211</v>
      </c>
      <c r="R59" s="3">
        <f>'experience g(l)'!W47</f>
        <v>0</v>
      </c>
      <c r="S59" s="3">
        <f>'experience g(l)'!X47</f>
        <v>0</v>
      </c>
      <c r="T59" s="3">
        <f>'experience g(l)'!Y47</f>
        <v>0</v>
      </c>
      <c r="AN59" s="3">
        <f t="shared" si="13"/>
        <v>0</v>
      </c>
    </row>
    <row r="60" spans="1:40" s="3" customFormat="1" x14ac:dyDescent="0.2">
      <c r="A60" t="s">
        <v>99</v>
      </c>
      <c r="B60" s="3" t="s">
        <v>108</v>
      </c>
      <c r="H60" s="3">
        <f>'experience g(l)'!M48</f>
        <v>319</v>
      </c>
      <c r="I60" s="3">
        <f>'experience g(l)'!N48</f>
        <v>319</v>
      </c>
      <c r="J60" s="3">
        <f>'experience g(l)'!O48</f>
        <v>319</v>
      </c>
      <c r="K60" s="3">
        <f>'experience g(l)'!P48</f>
        <v>319</v>
      </c>
      <c r="L60" s="3">
        <f>'experience g(l)'!Q48</f>
        <v>319</v>
      </c>
      <c r="M60" s="3">
        <f>'experience g(l)'!R48</f>
        <v>319</v>
      </c>
      <c r="N60" s="3">
        <f>'experience g(l)'!S48</f>
        <v>319</v>
      </c>
      <c r="O60" s="3">
        <f>'experience g(l)'!T48</f>
        <v>319</v>
      </c>
      <c r="P60" s="3">
        <f>'experience g(l)'!U48</f>
        <v>319</v>
      </c>
      <c r="Q60" s="3">
        <f>'experience g(l)'!V48</f>
        <v>319</v>
      </c>
      <c r="R60" s="3">
        <f>'experience g(l)'!W48</f>
        <v>319</v>
      </c>
      <c r="S60" s="3">
        <f>'experience g(l)'!X48</f>
        <v>319</v>
      </c>
      <c r="T60" s="3">
        <f>'experience g(l)'!Y48</f>
        <v>0</v>
      </c>
      <c r="AN60" s="3">
        <f t="shared" si="13"/>
        <v>0</v>
      </c>
    </row>
    <row r="61" spans="1:40" s="3" customFormat="1" x14ac:dyDescent="0.2">
      <c r="A61" t="s">
        <v>100</v>
      </c>
      <c r="B61" s="3" t="s">
        <v>108</v>
      </c>
      <c r="H61" s="3">
        <f>'experience g(l)'!M49</f>
        <v>165</v>
      </c>
      <c r="I61" s="3">
        <f>'experience g(l)'!N49</f>
        <v>165</v>
      </c>
      <c r="J61" s="3">
        <f>'experience g(l)'!O49</f>
        <v>165</v>
      </c>
      <c r="K61" s="3">
        <f>'experience g(l)'!P49</f>
        <v>165</v>
      </c>
      <c r="L61" s="3">
        <f>'experience g(l)'!Q49</f>
        <v>165</v>
      </c>
      <c r="M61" s="3">
        <f>'experience g(l)'!R49</f>
        <v>165</v>
      </c>
      <c r="N61" s="3">
        <f>'experience g(l)'!S49</f>
        <v>165</v>
      </c>
      <c r="O61" s="3">
        <f>'experience g(l)'!T49</f>
        <v>165</v>
      </c>
      <c r="P61" s="3">
        <f>'experience g(l)'!U49</f>
        <v>166</v>
      </c>
      <c r="Q61" s="3">
        <f>'experience g(l)'!V49</f>
        <v>166</v>
      </c>
      <c r="R61" s="3">
        <f>'experience g(l)'!W49</f>
        <v>166</v>
      </c>
      <c r="S61" s="3">
        <f>'experience g(l)'!X49</f>
        <v>166</v>
      </c>
      <c r="T61" s="3">
        <f>'experience g(l)'!Y49</f>
        <v>166</v>
      </c>
      <c r="AN61" s="3">
        <f t="shared" si="13"/>
        <v>0</v>
      </c>
    </row>
    <row r="62" spans="1:40" s="3" customFormat="1" x14ac:dyDescent="0.2">
      <c r="A62" t="s">
        <v>101</v>
      </c>
      <c r="B62" s="3" t="s">
        <v>108</v>
      </c>
      <c r="H62" s="45">
        <f>'experience g(l)'!M50</f>
        <v>-126</v>
      </c>
      <c r="I62" s="45">
        <f>'experience g(l)'!N50</f>
        <v>-126</v>
      </c>
      <c r="J62" s="45">
        <f>'experience g(l)'!O50</f>
        <v>-126</v>
      </c>
      <c r="K62" s="45">
        <f>'experience g(l)'!P50</f>
        <v>-126</v>
      </c>
      <c r="L62" s="45">
        <f>'experience g(l)'!Q50</f>
        <v>-126</v>
      </c>
      <c r="M62" s="45">
        <f>'experience g(l)'!R50</f>
        <v>-126</v>
      </c>
      <c r="N62" s="45">
        <f>'experience g(l)'!S50</f>
        <v>-126</v>
      </c>
      <c r="O62" s="45">
        <f>'experience g(l)'!T50</f>
        <v>-126</v>
      </c>
      <c r="P62" s="45">
        <f>'experience g(l)'!U50</f>
        <v>-126</v>
      </c>
      <c r="Q62" s="45">
        <f>'experience g(l)'!V50</f>
        <v>-126</v>
      </c>
      <c r="R62" s="45">
        <f>'experience g(l)'!W50</f>
        <v>-126</v>
      </c>
      <c r="S62" s="45">
        <f>'experience g(l)'!X50</f>
        <v>-126</v>
      </c>
      <c r="T62" s="45">
        <f>'experience g(l)'!Y50</f>
        <v>-127</v>
      </c>
      <c r="U62" s="45"/>
      <c r="V62" s="45"/>
      <c r="W62" s="45"/>
      <c r="X62" s="45"/>
      <c r="Y62" s="45"/>
      <c r="Z62" s="45"/>
      <c r="AA62" s="45"/>
      <c r="AB62" s="45"/>
      <c r="AC62" s="45"/>
      <c r="AD62" s="45"/>
      <c r="AE62" s="45"/>
      <c r="AF62" s="45"/>
      <c r="AG62" s="45"/>
      <c r="AH62" s="45"/>
      <c r="AI62" s="45"/>
      <c r="AJ62" s="45"/>
      <c r="AK62" s="45"/>
      <c r="AL62" s="45"/>
      <c r="AN62" s="3">
        <f t="shared" si="13"/>
        <v>0</v>
      </c>
    </row>
    <row r="63" spans="1:40" s="3" customFormat="1" x14ac:dyDescent="0.2">
      <c r="A63" t="s">
        <v>102</v>
      </c>
      <c r="B63" s="3" t="s">
        <v>108</v>
      </c>
      <c r="H63" s="45"/>
      <c r="I63" s="45">
        <f>'experience g(l)'!N51</f>
        <v>22</v>
      </c>
      <c r="J63" s="45">
        <f>'experience g(l)'!O51</f>
        <v>22</v>
      </c>
      <c r="K63" s="45">
        <f>'experience g(l)'!P51</f>
        <v>22</v>
      </c>
      <c r="L63" s="45">
        <f>'experience g(l)'!Q51</f>
        <v>22</v>
      </c>
      <c r="M63" s="45">
        <f>'experience g(l)'!R51</f>
        <v>22</v>
      </c>
      <c r="N63" s="45">
        <f>'experience g(l)'!S51</f>
        <v>22</v>
      </c>
      <c r="O63" s="45">
        <f>'experience g(l)'!T51</f>
        <v>22</v>
      </c>
      <c r="P63" s="45">
        <f>'experience g(l)'!U51</f>
        <v>22</v>
      </c>
      <c r="Q63" s="45">
        <f>'experience g(l)'!V51</f>
        <v>21</v>
      </c>
      <c r="R63" s="45">
        <f>'experience g(l)'!W51</f>
        <v>21</v>
      </c>
      <c r="S63" s="45">
        <f>'experience g(l)'!X51</f>
        <v>21</v>
      </c>
      <c r="T63" s="45">
        <f>'experience g(l)'!Y51</f>
        <v>21</v>
      </c>
      <c r="U63" s="45">
        <f>'experience g(l)'!Z51</f>
        <v>21</v>
      </c>
      <c r="V63" s="45"/>
      <c r="W63" s="45"/>
      <c r="X63" s="45"/>
      <c r="Y63" s="45"/>
      <c r="Z63" s="45"/>
      <c r="AA63" s="45"/>
      <c r="AB63" s="45"/>
      <c r="AC63" s="45"/>
      <c r="AD63" s="45"/>
      <c r="AE63" s="45"/>
      <c r="AF63" s="45"/>
      <c r="AG63" s="45"/>
      <c r="AH63" s="45"/>
      <c r="AI63" s="45"/>
      <c r="AJ63" s="45"/>
      <c r="AK63" s="45"/>
      <c r="AL63" s="45"/>
      <c r="AN63" s="3">
        <f t="shared" si="13"/>
        <v>0</v>
      </c>
    </row>
    <row r="64" spans="1:40" s="3" customFormat="1" x14ac:dyDescent="0.2">
      <c r="A64" t="s">
        <v>308</v>
      </c>
      <c r="B64" s="3" t="s">
        <v>108</v>
      </c>
      <c r="H64" s="45"/>
      <c r="I64" s="45"/>
      <c r="J64" s="45">
        <f>'experience g(l)'!O52</f>
        <v>-48</v>
      </c>
      <c r="K64" s="45">
        <f>'experience g(l)'!P52</f>
        <v>-48</v>
      </c>
      <c r="L64" s="45">
        <f>'experience g(l)'!Q52</f>
        <v>-48</v>
      </c>
      <c r="M64" s="45">
        <f>'experience g(l)'!R52</f>
        <v>-48</v>
      </c>
      <c r="N64" s="45">
        <f>'experience g(l)'!S52</f>
        <v>-48</v>
      </c>
      <c r="O64" s="45">
        <f>'experience g(l)'!T52</f>
        <v>-48</v>
      </c>
      <c r="P64" s="45">
        <f>'experience g(l)'!U52</f>
        <v>-48</v>
      </c>
      <c r="Q64" s="45">
        <f>'experience g(l)'!V52</f>
        <v>-48</v>
      </c>
      <c r="R64" s="45">
        <f>'experience g(l)'!W52</f>
        <v>-48</v>
      </c>
      <c r="S64" s="45">
        <f>'experience g(l)'!X52</f>
        <v>-48</v>
      </c>
      <c r="T64" s="45">
        <f>'experience g(l)'!Y52</f>
        <v>-48</v>
      </c>
      <c r="U64" s="45">
        <f>'experience g(l)'!Z52</f>
        <v>-48</v>
      </c>
      <c r="V64" s="45">
        <f>'experience g(l)'!AA52</f>
        <v>-47</v>
      </c>
      <c r="W64" s="45">
        <f>'experience g(l)'!AB52</f>
        <v>0</v>
      </c>
      <c r="X64" s="45"/>
      <c r="Y64" s="45"/>
      <c r="Z64" s="45"/>
      <c r="AA64" s="45"/>
      <c r="AB64" s="45"/>
      <c r="AC64" s="45"/>
      <c r="AD64" s="45"/>
      <c r="AE64" s="45"/>
      <c r="AF64" s="45"/>
      <c r="AG64" s="45"/>
      <c r="AH64" s="45"/>
      <c r="AI64" s="45"/>
      <c r="AJ64" s="45"/>
      <c r="AK64" s="45"/>
      <c r="AL64" s="45"/>
      <c r="AN64" s="3">
        <f t="shared" si="13"/>
        <v>0</v>
      </c>
    </row>
    <row r="65" spans="1:40" s="3" customFormat="1" x14ac:dyDescent="0.2">
      <c r="A65" t="s">
        <v>310</v>
      </c>
      <c r="B65" s="3" t="s">
        <v>108</v>
      </c>
      <c r="H65" s="45"/>
      <c r="I65" s="45"/>
      <c r="J65" s="45"/>
      <c r="K65" s="45">
        <f>'experience g(l)'!P53</f>
        <v>23</v>
      </c>
      <c r="L65" s="45">
        <f>'experience g(l)'!Q53</f>
        <v>23</v>
      </c>
      <c r="M65" s="45">
        <f>'experience g(l)'!R53</f>
        <v>23</v>
      </c>
      <c r="N65" s="45">
        <f>'experience g(l)'!S53</f>
        <v>23</v>
      </c>
      <c r="O65" s="45">
        <f>'experience g(l)'!T53</f>
        <v>23</v>
      </c>
      <c r="P65" s="45">
        <f>'experience g(l)'!U53</f>
        <v>23</v>
      </c>
      <c r="Q65" s="45">
        <f>'experience g(l)'!V53</f>
        <v>23</v>
      </c>
      <c r="R65" s="45">
        <f>'experience g(l)'!W53</f>
        <v>23</v>
      </c>
      <c r="S65" s="45">
        <f>'experience g(l)'!X53</f>
        <v>23</v>
      </c>
      <c r="T65" s="45">
        <f>'experience g(l)'!Y53</f>
        <v>23</v>
      </c>
      <c r="U65" s="45">
        <f>'experience g(l)'!Z53</f>
        <v>23</v>
      </c>
      <c r="V65" s="45">
        <f>'experience g(l)'!AA53</f>
        <v>22</v>
      </c>
      <c r="W65" s="45">
        <f>'experience g(l)'!AB53</f>
        <v>22</v>
      </c>
      <c r="X65" s="45"/>
      <c r="Y65" s="45"/>
      <c r="Z65" s="45"/>
      <c r="AA65" s="45"/>
      <c r="AB65" s="45"/>
      <c r="AC65" s="45"/>
      <c r="AD65" s="45"/>
      <c r="AE65" s="45"/>
      <c r="AF65" s="45"/>
      <c r="AG65" s="45"/>
      <c r="AH65" s="45"/>
      <c r="AI65" s="45"/>
      <c r="AJ65" s="45"/>
      <c r="AK65" s="45"/>
      <c r="AL65" s="45"/>
      <c r="AN65" s="3">
        <f t="shared" si="13"/>
        <v>22</v>
      </c>
    </row>
    <row r="66" spans="1:40" s="3" customFormat="1" x14ac:dyDescent="0.2">
      <c r="A66" t="s">
        <v>311</v>
      </c>
      <c r="B66" s="3" t="s">
        <v>108</v>
      </c>
      <c r="H66" s="45"/>
      <c r="I66" s="45"/>
      <c r="J66" s="45"/>
      <c r="K66" s="45"/>
      <c r="L66" s="45"/>
      <c r="M66" s="45">
        <f>'experience g(l)'!R54</f>
        <v>-46</v>
      </c>
      <c r="N66" s="45">
        <f>'experience g(l)'!S54</f>
        <v>-46</v>
      </c>
      <c r="O66" s="45">
        <f>'experience g(l)'!T54</f>
        <v>-46</v>
      </c>
      <c r="P66" s="45">
        <f>'experience g(l)'!U54</f>
        <v>-46</v>
      </c>
      <c r="Q66" s="45">
        <f>'experience g(l)'!V54</f>
        <v>-46</v>
      </c>
      <c r="R66" s="45">
        <f>'experience g(l)'!W54</f>
        <v>-46</v>
      </c>
      <c r="S66" s="45">
        <f>'experience g(l)'!X54</f>
        <v>-46</v>
      </c>
      <c r="T66" s="45">
        <f>'experience g(l)'!Y54</f>
        <v>-46</v>
      </c>
      <c r="U66" s="45">
        <f>'experience g(l)'!Z54</f>
        <v>-46</v>
      </c>
      <c r="V66" s="45">
        <f>'experience g(l)'!AA54</f>
        <v>-47</v>
      </c>
      <c r="W66" s="45">
        <f>'experience g(l)'!AB54</f>
        <v>-47</v>
      </c>
      <c r="X66" s="45">
        <f>'experience g(l)'!AC54</f>
        <v>-47</v>
      </c>
      <c r="Y66" s="45">
        <f>'experience g(l)'!AD54</f>
        <v>-47</v>
      </c>
      <c r="Z66" s="45"/>
      <c r="AA66" s="45"/>
      <c r="AB66" s="45"/>
      <c r="AC66" s="45"/>
      <c r="AD66" s="45"/>
      <c r="AE66" s="45"/>
      <c r="AF66" s="45"/>
      <c r="AG66" s="45"/>
      <c r="AH66" s="45"/>
      <c r="AI66" s="45"/>
      <c r="AJ66" s="45"/>
      <c r="AK66" s="45"/>
      <c r="AL66" s="45"/>
      <c r="AN66" s="3">
        <f t="shared" si="13"/>
        <v>-141</v>
      </c>
    </row>
    <row r="67" spans="1:40" s="3" customFormat="1" x14ac:dyDescent="0.2">
      <c r="A67" t="s">
        <v>312</v>
      </c>
      <c r="B67" s="3" t="s">
        <v>108</v>
      </c>
      <c r="H67" s="45"/>
      <c r="I67" s="45"/>
      <c r="J67" s="45"/>
      <c r="K67" s="45"/>
      <c r="L67" s="45"/>
      <c r="M67" s="45"/>
      <c r="N67" s="45">
        <f>'experience g(l)'!S55</f>
        <v>240</v>
      </c>
      <c r="O67" s="45">
        <f>'experience g(l)'!T55</f>
        <v>240</v>
      </c>
      <c r="P67" s="45">
        <f>'experience g(l)'!U55</f>
        <v>240</v>
      </c>
      <c r="Q67" s="45">
        <f>'experience g(l)'!V55</f>
        <v>240</v>
      </c>
      <c r="R67" s="45">
        <f>'experience g(l)'!W55</f>
        <v>240</v>
      </c>
      <c r="S67" s="45">
        <f>'experience g(l)'!X55</f>
        <v>240</v>
      </c>
      <c r="T67" s="45">
        <f>'experience g(l)'!Y55</f>
        <v>240</v>
      </c>
      <c r="U67" s="45">
        <f>'experience g(l)'!Z55</f>
        <v>240</v>
      </c>
      <c r="V67" s="45">
        <f>'experience g(l)'!AA55</f>
        <v>240</v>
      </c>
      <c r="W67" s="45">
        <f>'experience g(l)'!AB55</f>
        <v>240</v>
      </c>
      <c r="X67" s="45">
        <f>'experience g(l)'!AC55</f>
        <v>240</v>
      </c>
      <c r="Y67" s="45">
        <f>'experience g(l)'!AD55</f>
        <v>240</v>
      </c>
      <c r="Z67" s="45">
        <f>'experience g(l)'!AE55</f>
        <v>240</v>
      </c>
      <c r="AA67" s="45">
        <f>'experience g(l)'!AF55</f>
        <v>140</v>
      </c>
      <c r="AB67" s="45"/>
      <c r="AC67" s="45"/>
      <c r="AD67" s="45"/>
      <c r="AE67" s="45"/>
      <c r="AF67" s="45"/>
      <c r="AG67" s="45"/>
      <c r="AH67" s="45"/>
      <c r="AI67" s="45"/>
      <c r="AJ67" s="45"/>
      <c r="AK67" s="45"/>
      <c r="AL67" s="45"/>
      <c r="AN67" s="3">
        <f t="shared" si="13"/>
        <v>1100</v>
      </c>
    </row>
    <row r="68" spans="1:40" s="3" customFormat="1" x14ac:dyDescent="0.2">
      <c r="A68" t="s">
        <v>313</v>
      </c>
      <c r="B68" s="3" t="s">
        <v>108</v>
      </c>
      <c r="H68" s="45"/>
      <c r="I68" s="45"/>
      <c r="J68" s="45"/>
      <c r="K68" s="45"/>
      <c r="L68" s="45"/>
      <c r="M68" s="45"/>
      <c r="N68" s="45"/>
      <c r="O68" s="45">
        <f>'experience g(l)'!T56</f>
        <v>294</v>
      </c>
      <c r="P68" s="45">
        <f>'experience g(l)'!U56</f>
        <v>294</v>
      </c>
      <c r="Q68" s="45">
        <f>'experience g(l)'!V56</f>
        <v>294</v>
      </c>
      <c r="R68" s="45">
        <f>'experience g(l)'!W56</f>
        <v>294</v>
      </c>
      <c r="S68" s="45">
        <f>'experience g(l)'!X56</f>
        <v>294</v>
      </c>
      <c r="T68" s="45">
        <f>'experience g(l)'!Y56</f>
        <v>294</v>
      </c>
      <c r="U68" s="45">
        <f>'experience g(l)'!Z56</f>
        <v>294</v>
      </c>
      <c r="V68" s="45">
        <f>'experience g(l)'!AA56</f>
        <v>294</v>
      </c>
      <c r="W68" s="45">
        <f>'experience g(l)'!AB56</f>
        <v>294</v>
      </c>
      <c r="X68" s="45">
        <f>'experience g(l)'!AC56</f>
        <v>294</v>
      </c>
      <c r="Y68" s="45">
        <f>'experience g(l)'!AD56</f>
        <v>294</v>
      </c>
      <c r="Z68" s="45">
        <f>'experience g(l)'!AE56</f>
        <v>294</v>
      </c>
      <c r="AA68" s="45">
        <f>'experience g(l)'!AF56</f>
        <v>294</v>
      </c>
      <c r="AB68" s="45">
        <f>'experience g(l)'!AG56</f>
        <v>234</v>
      </c>
      <c r="AC68" s="45"/>
      <c r="AD68" s="45"/>
      <c r="AE68" s="45"/>
      <c r="AF68" s="45"/>
      <c r="AG68" s="45"/>
      <c r="AH68" s="45"/>
      <c r="AI68" s="45"/>
      <c r="AJ68" s="45"/>
      <c r="AK68" s="45"/>
      <c r="AL68" s="45"/>
      <c r="AN68" s="3">
        <f t="shared" si="13"/>
        <v>1704</v>
      </c>
    </row>
    <row r="69" spans="1:40" s="3" customFormat="1" x14ac:dyDescent="0.2">
      <c r="A69" t="s">
        <v>314</v>
      </c>
      <c r="B69" s="3" t="s">
        <v>108</v>
      </c>
      <c r="H69" s="45"/>
      <c r="I69" s="45"/>
      <c r="J69" s="45"/>
      <c r="K69" s="45"/>
      <c r="L69" s="45"/>
      <c r="M69" s="45"/>
      <c r="N69" s="45"/>
      <c r="O69" s="45"/>
      <c r="P69" s="45">
        <f>'experience g(l)'!U57</f>
        <v>-198</v>
      </c>
      <c r="Q69" s="45">
        <f>'experience g(l)'!V57</f>
        <v>-198</v>
      </c>
      <c r="R69" s="45">
        <f>'experience g(l)'!W57</f>
        <v>-198</v>
      </c>
      <c r="S69" s="45">
        <f>'experience g(l)'!X57</f>
        <v>-198</v>
      </c>
      <c r="T69" s="45">
        <f>'experience g(l)'!Y57</f>
        <v>-198</v>
      </c>
      <c r="U69" s="45">
        <f>'experience g(l)'!Z57</f>
        <v>-198</v>
      </c>
      <c r="V69" s="45">
        <f>'experience g(l)'!AA57</f>
        <v>-198</v>
      </c>
      <c r="W69" s="45">
        <f>'experience g(l)'!AB57</f>
        <v>-198</v>
      </c>
      <c r="X69" s="45">
        <f>'experience g(l)'!AC57</f>
        <v>-198</v>
      </c>
      <c r="Y69" s="45">
        <f>'experience g(l)'!AD57</f>
        <v>-198</v>
      </c>
      <c r="Z69" s="45">
        <f>'experience g(l)'!AE57</f>
        <v>-198</v>
      </c>
      <c r="AA69" s="45">
        <f>'experience g(l)'!AF57</f>
        <v>-198</v>
      </c>
      <c r="AB69" s="45">
        <f>'experience g(l)'!AG57</f>
        <v>-198</v>
      </c>
      <c r="AC69" s="45">
        <f>'experience g(l)'!AH57</f>
        <v>-199</v>
      </c>
      <c r="AD69" s="45"/>
      <c r="AE69" s="45"/>
      <c r="AF69" s="45"/>
      <c r="AG69" s="45"/>
      <c r="AH69" s="45"/>
      <c r="AI69" s="45"/>
      <c r="AJ69" s="45"/>
      <c r="AK69" s="45"/>
      <c r="AL69" s="45"/>
      <c r="AN69" s="3">
        <f t="shared" si="13"/>
        <v>-1387</v>
      </c>
    </row>
    <row r="70" spans="1:40" s="3" customFormat="1" x14ac:dyDescent="0.2">
      <c r="A70" t="s">
        <v>329</v>
      </c>
      <c r="B70" s="3" t="s">
        <v>108</v>
      </c>
      <c r="H70" s="45"/>
      <c r="I70" s="45"/>
      <c r="J70" s="45"/>
      <c r="K70" s="45"/>
      <c r="L70" s="45"/>
      <c r="M70" s="45"/>
      <c r="N70" s="45"/>
      <c r="O70" s="45"/>
      <c r="P70" s="45"/>
      <c r="Q70" s="45">
        <f>'experience g(l)'!V58</f>
        <v>-269</v>
      </c>
      <c r="R70" s="45">
        <f>'experience g(l)'!W58</f>
        <v>-269</v>
      </c>
      <c r="S70" s="45">
        <f>'experience g(l)'!X58</f>
        <v>-269</v>
      </c>
      <c r="T70" s="45">
        <f>'experience g(l)'!Y58</f>
        <v>-269</v>
      </c>
      <c r="U70" s="45">
        <f>'experience g(l)'!Z58</f>
        <v>-269</v>
      </c>
      <c r="V70" s="45">
        <f>'experience g(l)'!AA58</f>
        <v>-269</v>
      </c>
      <c r="W70" s="45">
        <f>'experience g(l)'!AB58</f>
        <v>-269</v>
      </c>
      <c r="X70" s="45">
        <f>'experience g(l)'!AC58</f>
        <v>-269</v>
      </c>
      <c r="Y70" s="45">
        <f>'experience g(l)'!AD58</f>
        <v>-269</v>
      </c>
      <c r="Z70" s="45">
        <f>'experience g(l)'!AE58</f>
        <v>-269</v>
      </c>
      <c r="AA70" s="45">
        <f>'experience g(l)'!AF58</f>
        <v>-269</v>
      </c>
      <c r="AB70" s="45">
        <f>'experience g(l)'!AG58</f>
        <v>-269</v>
      </c>
      <c r="AC70" s="45">
        <f>'experience g(l)'!AH58</f>
        <v>-269</v>
      </c>
      <c r="AD70" s="45">
        <f>'experience g(l)'!AI58</f>
        <v>-268</v>
      </c>
      <c r="AE70" s="45"/>
      <c r="AF70" s="45"/>
      <c r="AG70" s="45"/>
      <c r="AH70" s="45"/>
      <c r="AI70" s="45"/>
      <c r="AJ70" s="45"/>
      <c r="AK70" s="45"/>
      <c r="AL70" s="45"/>
      <c r="AN70" s="3">
        <f t="shared" si="13"/>
        <v>-2151</v>
      </c>
    </row>
    <row r="71" spans="1:40" s="3" customFormat="1" x14ac:dyDescent="0.2">
      <c r="A71" t="s">
        <v>332</v>
      </c>
      <c r="B71" s="3" t="s">
        <v>108</v>
      </c>
      <c r="H71" s="45"/>
      <c r="I71" s="45"/>
      <c r="J71" s="45"/>
      <c r="K71" s="45"/>
      <c r="L71" s="45"/>
      <c r="M71" s="45"/>
      <c r="N71" s="45"/>
      <c r="O71" s="45"/>
      <c r="P71" s="45"/>
      <c r="Q71" s="45"/>
      <c r="R71" s="45">
        <f>'experience g(l)'!W59</f>
        <v>114</v>
      </c>
      <c r="S71" s="45">
        <f>'experience g(l)'!X59</f>
        <v>114</v>
      </c>
      <c r="T71" s="45">
        <f>'experience g(l)'!Y59</f>
        <v>114</v>
      </c>
      <c r="U71" s="45">
        <f>'experience g(l)'!Z59</f>
        <v>114</v>
      </c>
      <c r="V71" s="45">
        <f>'experience g(l)'!AA59</f>
        <v>114</v>
      </c>
      <c r="W71" s="45">
        <f>'experience g(l)'!AB59</f>
        <v>114</v>
      </c>
      <c r="X71" s="45">
        <f>'experience g(l)'!AC59</f>
        <v>114</v>
      </c>
      <c r="Y71" s="45">
        <f>'experience g(l)'!AD59</f>
        <v>114</v>
      </c>
      <c r="Z71" s="45">
        <f>'experience g(l)'!AE59</f>
        <v>114</v>
      </c>
      <c r="AA71" s="45">
        <f>'experience g(l)'!AF59</f>
        <v>114</v>
      </c>
      <c r="AB71" s="45">
        <f>'experience g(l)'!AG59</f>
        <v>114</v>
      </c>
      <c r="AC71" s="45">
        <f>'experience g(l)'!AH59</f>
        <v>114</v>
      </c>
      <c r="AD71" s="45">
        <f>'experience g(l)'!AI59</f>
        <v>114</v>
      </c>
      <c r="AE71" s="45">
        <f>'experience g(l)'!AJ59</f>
        <v>96</v>
      </c>
      <c r="AF71" s="45"/>
      <c r="AG71" s="45"/>
      <c r="AH71" s="45"/>
      <c r="AI71" s="45"/>
      <c r="AJ71" s="45"/>
      <c r="AK71" s="45"/>
      <c r="AL71" s="45"/>
      <c r="AN71" s="3">
        <f t="shared" si="13"/>
        <v>1008</v>
      </c>
    </row>
    <row r="72" spans="1:40" s="3" customFormat="1" x14ac:dyDescent="0.2">
      <c r="A72" s="232" t="s">
        <v>336</v>
      </c>
      <c r="B72" s="3" t="s">
        <v>108</v>
      </c>
      <c r="H72" s="45"/>
      <c r="I72" s="45"/>
      <c r="J72" s="45"/>
      <c r="K72" s="45"/>
      <c r="L72" s="45"/>
      <c r="M72" s="45"/>
      <c r="N72" s="45"/>
      <c r="O72" s="45"/>
      <c r="P72" s="45"/>
      <c r="Q72" s="45"/>
      <c r="R72" s="45"/>
      <c r="S72" s="45">
        <f>'experience g(l)'!X60</f>
        <v>-309</v>
      </c>
      <c r="T72" s="45">
        <f>'experience g(l)'!Y60</f>
        <v>-309</v>
      </c>
      <c r="U72" s="45">
        <f>'experience g(l)'!Z60</f>
        <v>-309</v>
      </c>
      <c r="V72" s="45">
        <f>'experience g(l)'!AA60</f>
        <v>-309</v>
      </c>
      <c r="W72" s="45">
        <f>'experience g(l)'!AB60</f>
        <v>-309</v>
      </c>
      <c r="X72" s="45">
        <f>'experience g(l)'!AC60</f>
        <v>-309</v>
      </c>
      <c r="Y72" s="45">
        <f>'experience g(l)'!AD60</f>
        <v>-309</v>
      </c>
      <c r="Z72" s="45">
        <f>'experience g(l)'!AE60</f>
        <v>-309</v>
      </c>
      <c r="AA72" s="45">
        <f>'experience g(l)'!AF60</f>
        <v>-309</v>
      </c>
      <c r="AB72" s="45">
        <f>'experience g(l)'!AG60</f>
        <v>-309</v>
      </c>
      <c r="AC72" s="45">
        <f>'experience g(l)'!AH60</f>
        <v>-309</v>
      </c>
      <c r="AD72" s="45">
        <f>'experience g(l)'!AI60</f>
        <v>-309</v>
      </c>
      <c r="AE72" s="45">
        <f>'experience g(l)'!AJ60</f>
        <v>-309</v>
      </c>
      <c r="AF72" s="45">
        <f>'experience g(l)'!AK60</f>
        <v>-271</v>
      </c>
      <c r="AG72" s="45">
        <f>'experience g(l)'!AL60</f>
        <v>-63</v>
      </c>
      <c r="AH72" s="45"/>
      <c r="AI72" s="45"/>
      <c r="AJ72" s="45"/>
      <c r="AK72" s="45"/>
      <c r="AL72" s="45"/>
      <c r="AN72" s="3">
        <f t="shared" si="13"/>
        <v>-3115</v>
      </c>
    </row>
    <row r="73" spans="1:40" s="3" customFormat="1" x14ac:dyDescent="0.2">
      <c r="A73" s="232" t="s">
        <v>350</v>
      </c>
      <c r="B73" s="3" t="s">
        <v>108</v>
      </c>
      <c r="H73" s="45"/>
      <c r="I73" s="45"/>
      <c r="J73" s="45"/>
      <c r="K73" s="45"/>
      <c r="L73" s="45"/>
      <c r="M73" s="45"/>
      <c r="N73" s="45"/>
      <c r="O73" s="45"/>
      <c r="P73" s="45"/>
      <c r="Q73" s="45"/>
      <c r="R73" s="45"/>
      <c r="S73" s="45"/>
      <c r="T73" s="45">
        <f>'experience g(l)'!Y61</f>
        <v>69</v>
      </c>
      <c r="U73" s="45">
        <f>'experience g(l)'!Z61</f>
        <v>69</v>
      </c>
      <c r="V73" s="45">
        <f>'experience g(l)'!AA61</f>
        <v>69</v>
      </c>
      <c r="W73" s="45">
        <f>'experience g(l)'!AB61</f>
        <v>69</v>
      </c>
      <c r="X73" s="45">
        <f>'experience g(l)'!AC61</f>
        <v>69</v>
      </c>
      <c r="Y73" s="45">
        <f>'experience g(l)'!AD61</f>
        <v>69</v>
      </c>
      <c r="Z73" s="45">
        <f>'experience g(l)'!AE61</f>
        <v>69</v>
      </c>
      <c r="AA73" s="45">
        <f>'experience g(l)'!AF61</f>
        <v>69</v>
      </c>
      <c r="AB73" s="45">
        <f>'experience g(l)'!AG61</f>
        <v>69</v>
      </c>
      <c r="AC73" s="45">
        <f>'experience g(l)'!AH61</f>
        <v>69</v>
      </c>
      <c r="AD73" s="45">
        <f>'experience g(l)'!AI61</f>
        <v>69</v>
      </c>
      <c r="AE73" s="45">
        <f>'experience g(l)'!AJ61</f>
        <v>69</v>
      </c>
      <c r="AF73" s="45">
        <f>'experience g(l)'!AK61</f>
        <v>69</v>
      </c>
      <c r="AG73" s="45">
        <f>'experience g(l)'!AL61</f>
        <v>69</v>
      </c>
      <c r="AH73" s="45">
        <f>'experience g(l)'!AM61</f>
        <v>38.4</v>
      </c>
      <c r="AI73" s="45"/>
      <c r="AJ73" s="45"/>
      <c r="AK73" s="45"/>
      <c r="AL73" s="45"/>
      <c r="AN73" s="3">
        <f t="shared" si="13"/>
        <v>797.4</v>
      </c>
    </row>
    <row r="74" spans="1:40" s="3" customFormat="1" x14ac:dyDescent="0.2">
      <c r="A74" s="396" t="s">
        <v>355</v>
      </c>
      <c r="B74" s="3" t="s">
        <v>108</v>
      </c>
      <c r="H74" s="45"/>
      <c r="I74" s="45"/>
      <c r="J74" s="45"/>
      <c r="K74" s="45"/>
      <c r="L74" s="45"/>
      <c r="M74" s="45"/>
      <c r="N74" s="45"/>
      <c r="O74" s="45"/>
      <c r="P74" s="45"/>
      <c r="Q74" s="45"/>
      <c r="R74" s="45"/>
      <c r="S74" s="45"/>
      <c r="T74" s="45"/>
      <c r="U74" s="45">
        <f>'experience g(l)'!Z62</f>
        <v>421</v>
      </c>
      <c r="V74" s="45">
        <f>'experience g(l)'!AA62</f>
        <v>421</v>
      </c>
      <c r="W74" s="45">
        <f>'experience g(l)'!AB62</f>
        <v>421</v>
      </c>
      <c r="X74" s="45">
        <f>'experience g(l)'!AC62</f>
        <v>421</v>
      </c>
      <c r="Y74" s="45">
        <f>'experience g(l)'!AD62</f>
        <v>421</v>
      </c>
      <c r="Z74" s="45">
        <f>'experience g(l)'!AE62</f>
        <v>421</v>
      </c>
      <c r="AA74" s="45">
        <f>'experience g(l)'!AF62</f>
        <v>421</v>
      </c>
      <c r="AB74" s="45">
        <f>'experience g(l)'!AG62</f>
        <v>421</v>
      </c>
      <c r="AC74" s="45">
        <f>'experience g(l)'!AH62</f>
        <v>421</v>
      </c>
      <c r="AD74" s="45">
        <f>'experience g(l)'!AI62</f>
        <v>421</v>
      </c>
      <c r="AE74" s="45">
        <f>'experience g(l)'!AJ62</f>
        <v>421</v>
      </c>
      <c r="AF74" s="45">
        <f>'experience g(l)'!AK62</f>
        <v>421</v>
      </c>
      <c r="AG74" s="45">
        <f>'experience g(l)'!AL62</f>
        <v>421</v>
      </c>
      <c r="AH74" s="45">
        <f>'experience g(l)'!AM62</f>
        <v>421</v>
      </c>
      <c r="AI74" s="45">
        <f>'experience g(l)'!AN62</f>
        <v>210.5</v>
      </c>
      <c r="AJ74" s="45"/>
      <c r="AK74" s="45"/>
      <c r="AL74" s="45"/>
      <c r="AN74" s="3">
        <f t="shared" si="13"/>
        <v>5262.5</v>
      </c>
    </row>
    <row r="75" spans="1:40" s="3" customFormat="1" x14ac:dyDescent="0.2">
      <c r="A75" s="396" t="s">
        <v>358</v>
      </c>
      <c r="B75" s="3" t="s">
        <v>108</v>
      </c>
      <c r="H75" s="45"/>
      <c r="I75" s="45"/>
      <c r="J75" s="45"/>
      <c r="K75" s="45"/>
      <c r="L75" s="45"/>
      <c r="M75" s="45"/>
      <c r="N75" s="45"/>
      <c r="O75" s="45"/>
      <c r="P75" s="45"/>
      <c r="Q75" s="45"/>
      <c r="R75" s="45"/>
      <c r="S75" s="45"/>
      <c r="T75" s="45"/>
      <c r="U75" s="45"/>
      <c r="V75" s="45">
        <f>'experience g(l)'!AA63</f>
        <v>433</v>
      </c>
      <c r="W75" s="45">
        <f>'experience g(l)'!AB63</f>
        <v>433</v>
      </c>
      <c r="X75" s="45">
        <f>'experience g(l)'!AC63</f>
        <v>433</v>
      </c>
      <c r="Y75" s="45">
        <f>'experience g(l)'!AD63</f>
        <v>433</v>
      </c>
      <c r="Z75" s="45">
        <f>'experience g(l)'!AE63</f>
        <v>433</v>
      </c>
      <c r="AA75" s="45">
        <f>'experience g(l)'!AF63</f>
        <v>433</v>
      </c>
      <c r="AB75" s="45">
        <f>'experience g(l)'!AG63</f>
        <v>433</v>
      </c>
      <c r="AC75" s="45">
        <f>'experience g(l)'!AH63</f>
        <v>433</v>
      </c>
      <c r="AD75" s="45">
        <f>'experience g(l)'!AI63</f>
        <v>433</v>
      </c>
      <c r="AE75" s="45">
        <f>'experience g(l)'!AJ63</f>
        <v>433</v>
      </c>
      <c r="AF75" s="45">
        <f>'experience g(l)'!AK63</f>
        <v>433</v>
      </c>
      <c r="AG75" s="45">
        <f>'experience g(l)'!AL63</f>
        <v>433</v>
      </c>
      <c r="AH75" s="45">
        <f>'experience g(l)'!AM63</f>
        <v>433</v>
      </c>
      <c r="AI75" s="45">
        <f>'experience g(l)'!AN63</f>
        <v>433</v>
      </c>
      <c r="AJ75" s="45">
        <f>'experience g(l)'!AO63</f>
        <v>179.20000000000002</v>
      </c>
      <c r="AK75" s="45">
        <f>'experience g(l)'!AP63</f>
        <v>0</v>
      </c>
      <c r="AL75" s="45">
        <f>'experience g(l)'!AQ63</f>
        <v>0</v>
      </c>
      <c r="AN75" s="3">
        <f t="shared" si="13"/>
        <v>5808.2</v>
      </c>
    </row>
    <row r="76" spans="1:40" s="3" customFormat="1" x14ac:dyDescent="0.2">
      <c r="A76" s="321" t="s">
        <v>363</v>
      </c>
      <c r="H76" s="45"/>
      <c r="I76" s="45"/>
      <c r="J76" s="45"/>
      <c r="K76" s="45"/>
      <c r="L76" s="45"/>
      <c r="M76" s="45"/>
      <c r="N76" s="45"/>
      <c r="O76" s="45"/>
      <c r="P76" s="45"/>
      <c r="Q76" s="45"/>
      <c r="R76" s="45"/>
      <c r="S76" s="45"/>
      <c r="T76" s="45"/>
      <c r="U76" s="45"/>
      <c r="V76" s="45"/>
      <c r="W76" s="45">
        <f>'experience g(l)'!AB64</f>
        <v>593</v>
      </c>
      <c r="X76" s="45">
        <f>'experience g(l)'!AC64</f>
        <v>593</v>
      </c>
      <c r="Y76" s="45">
        <f>'experience g(l)'!AD64</f>
        <v>593</v>
      </c>
      <c r="Z76" s="45">
        <f>'experience g(l)'!AE64</f>
        <v>593</v>
      </c>
      <c r="AA76" s="45">
        <f>'experience g(l)'!AF64</f>
        <v>593</v>
      </c>
      <c r="AB76" s="45">
        <f>'experience g(l)'!AG64</f>
        <v>593</v>
      </c>
      <c r="AC76" s="45">
        <f>'experience g(l)'!AH64</f>
        <v>593</v>
      </c>
      <c r="AD76" s="45">
        <f>'experience g(l)'!AI64</f>
        <v>593</v>
      </c>
      <c r="AE76" s="45">
        <f>'experience g(l)'!AJ64</f>
        <v>593</v>
      </c>
      <c r="AF76" s="45">
        <f>'experience g(l)'!AK64</f>
        <v>593</v>
      </c>
      <c r="AG76" s="45">
        <f>'experience g(l)'!AL64</f>
        <v>592</v>
      </c>
      <c r="AH76" s="45">
        <f>'experience g(l)'!AM64</f>
        <v>592</v>
      </c>
      <c r="AI76" s="45">
        <f>'experience g(l)'!AN64</f>
        <v>592</v>
      </c>
      <c r="AJ76" s="45">
        <f>'experience g(l)'!AO64</f>
        <v>592</v>
      </c>
      <c r="AK76" s="45">
        <f>'experience g(l)'!AP64</f>
        <v>592</v>
      </c>
      <c r="AL76" s="45">
        <f>'experience g(l)'!AQ64</f>
        <v>183.9</v>
      </c>
      <c r="AN76" s="3">
        <f t="shared" si="13"/>
        <v>9073.9</v>
      </c>
    </row>
    <row r="77" spans="1:40" s="25" customFormat="1" x14ac:dyDescent="0.2">
      <c r="A77" s="25" t="s">
        <v>130</v>
      </c>
      <c r="H77" s="26">
        <f t="shared" ref="H77:S77" si="15">SUM(H56:H72)</f>
        <v>470</v>
      </c>
      <c r="I77" s="26">
        <f t="shared" si="15"/>
        <v>493</v>
      </c>
      <c r="J77" s="26">
        <f t="shared" si="15"/>
        <v>444</v>
      </c>
      <c r="K77" s="26">
        <f t="shared" si="15"/>
        <v>466</v>
      </c>
      <c r="L77" s="26">
        <f t="shared" si="15"/>
        <v>467</v>
      </c>
      <c r="M77" s="26">
        <f t="shared" si="15"/>
        <v>470</v>
      </c>
      <c r="N77" s="26">
        <f t="shared" si="15"/>
        <v>710</v>
      </c>
      <c r="O77" s="26">
        <f t="shared" si="15"/>
        <v>1113</v>
      </c>
      <c r="P77" s="26">
        <f t="shared" si="15"/>
        <v>916</v>
      </c>
      <c r="Q77" s="26">
        <f t="shared" si="15"/>
        <v>587</v>
      </c>
      <c r="R77" s="26">
        <f t="shared" si="15"/>
        <v>490</v>
      </c>
      <c r="S77" s="26">
        <f t="shared" si="15"/>
        <v>181</v>
      </c>
      <c r="T77" s="26">
        <f>SUM(T56:T74)</f>
        <v>-70</v>
      </c>
      <c r="U77" s="26">
        <f>SUM(U56:U75)</f>
        <v>312</v>
      </c>
      <c r="V77" s="26">
        <f t="shared" ref="V77" si="16">SUM(V56:V75)</f>
        <v>723</v>
      </c>
      <c r="W77" s="26">
        <f>SUM(W56:W76)</f>
        <v>1363</v>
      </c>
      <c r="X77" s="26">
        <f t="shared" ref="X77:AJ77" si="17">SUM(X56:X76)</f>
        <v>1341</v>
      </c>
      <c r="Y77" s="26">
        <f t="shared" si="17"/>
        <v>1341</v>
      </c>
      <c r="Z77" s="26">
        <f t="shared" si="17"/>
        <v>1388</v>
      </c>
      <c r="AA77" s="26">
        <f t="shared" si="17"/>
        <v>1288</v>
      </c>
      <c r="AB77" s="26">
        <f t="shared" si="17"/>
        <v>1088</v>
      </c>
      <c r="AC77" s="26">
        <f t="shared" si="17"/>
        <v>853</v>
      </c>
      <c r="AD77" s="26">
        <f t="shared" si="17"/>
        <v>1053</v>
      </c>
      <c r="AE77" s="26">
        <f t="shared" si="17"/>
        <v>1303</v>
      </c>
      <c r="AF77" s="26">
        <f t="shared" si="17"/>
        <v>1245</v>
      </c>
      <c r="AG77" s="26">
        <f t="shared" si="17"/>
        <v>1452</v>
      </c>
      <c r="AH77" s="26">
        <f t="shared" si="17"/>
        <v>1484.4</v>
      </c>
      <c r="AI77" s="26">
        <f t="shared" si="17"/>
        <v>1235.5</v>
      </c>
      <c r="AJ77" s="26">
        <f t="shared" si="17"/>
        <v>771.2</v>
      </c>
      <c r="AK77" s="26">
        <f t="shared" ref="AK77" si="18">SUM(AK56:AK76)</f>
        <v>592</v>
      </c>
      <c r="AL77" s="26">
        <f t="shared" ref="AL77" si="19">SUM(AL56:AL76)</f>
        <v>183.9</v>
      </c>
      <c r="AN77" s="26">
        <f>SUM(AN56:AN76)</f>
        <v>17982</v>
      </c>
    </row>
    <row r="78" spans="1:40" s="3" customFormat="1" x14ac:dyDescent="0.2"/>
    <row r="79" spans="1:40" s="3" customFormat="1" x14ac:dyDescent="0.2"/>
    <row r="80" spans="1:4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sheetData>
  <phoneticPr fontId="0" type="noConversion"/>
  <pageMargins left="0.5" right="0.5" top="0.75" bottom="0.75" header="0.5" footer="0.5"/>
  <pageSetup paperSize="5" scale="40" orientation="landscape" r:id="rId1"/>
  <headerFooter alignWithMargins="0">
    <oddFooter>&amp;L&amp;"Arial,Bold"&amp;F&amp;C&amp;A&amp;R&amp;D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67"/>
  <sheetViews>
    <sheetView workbookViewId="0">
      <pane xSplit="2" ySplit="4" topLeftCell="C5" activePane="bottomRight" state="frozen"/>
      <selection activeCell="AF39" sqref="AF39"/>
      <selection pane="topRight" activeCell="AF39" sqref="AF39"/>
      <selection pane="bottomLeft" activeCell="AF39" sqref="AF39"/>
      <selection pane="bottomRight"/>
    </sheetView>
  </sheetViews>
  <sheetFormatPr baseColWidth="10" defaultColWidth="9.140625" defaultRowHeight="12.75" x14ac:dyDescent="0.2"/>
  <cols>
    <col min="1" max="1" width="53.28515625" customWidth="1"/>
    <col min="2" max="2" width="22" customWidth="1"/>
    <col min="33" max="33" width="11.5703125" customWidth="1"/>
    <col min="34" max="34" width="9.28515625" customWidth="1"/>
  </cols>
  <sheetData>
    <row r="1" spans="1:34" ht="15.75" x14ac:dyDescent="0.25">
      <c r="A1" s="18" t="s">
        <v>258</v>
      </c>
    </row>
    <row r="2" spans="1:34" x14ac:dyDescent="0.2">
      <c r="A2" s="2" t="s">
        <v>250</v>
      </c>
    </row>
    <row r="3" spans="1:34" x14ac:dyDescent="0.2">
      <c r="AG3" s="16" t="s">
        <v>106</v>
      </c>
      <c r="AH3">
        <f>'RCA data'!$I$14</f>
        <v>39</v>
      </c>
    </row>
    <row r="4" spans="1:34" s="2" customFormat="1" ht="13.5" thickBot="1" x14ac:dyDescent="0.25">
      <c r="A4" s="19" t="s">
        <v>1</v>
      </c>
      <c r="B4" s="20" t="s">
        <v>26</v>
      </c>
      <c r="C4" s="20">
        <v>2001</v>
      </c>
      <c r="D4" s="20">
        <v>2002</v>
      </c>
      <c r="E4" s="20">
        <v>2003</v>
      </c>
      <c r="F4" s="20">
        <v>2004</v>
      </c>
      <c r="G4" s="20">
        <v>2005</v>
      </c>
      <c r="H4" s="20">
        <v>2006</v>
      </c>
      <c r="I4" s="20">
        <v>2007</v>
      </c>
      <c r="J4" s="20">
        <v>2008</v>
      </c>
      <c r="K4" s="20">
        <v>2009</v>
      </c>
      <c r="L4" s="20">
        <v>2010</v>
      </c>
      <c r="M4" s="20">
        <v>2011</v>
      </c>
      <c r="N4" s="20">
        <v>2012</v>
      </c>
      <c r="O4" s="20">
        <v>2013</v>
      </c>
      <c r="P4" s="20">
        <v>2014</v>
      </c>
      <c r="Q4" s="20">
        <v>2015</v>
      </c>
      <c r="R4" s="20">
        <v>2016</v>
      </c>
      <c r="S4" s="73">
        <v>2017</v>
      </c>
      <c r="T4" s="73">
        <v>2018</v>
      </c>
      <c r="U4" s="73">
        <v>2019</v>
      </c>
      <c r="V4" s="73">
        <v>2020</v>
      </c>
      <c r="W4" s="73">
        <v>2021</v>
      </c>
      <c r="X4" s="73">
        <v>2021</v>
      </c>
      <c r="Y4" s="73">
        <v>2022</v>
      </c>
      <c r="Z4" s="73">
        <v>2023</v>
      </c>
      <c r="AA4" s="73">
        <v>2024</v>
      </c>
      <c r="AB4" s="73">
        <v>2025</v>
      </c>
      <c r="AC4" s="73">
        <v>2026</v>
      </c>
      <c r="AD4" s="73"/>
      <c r="AE4" s="73"/>
      <c r="AF4" s="73"/>
      <c r="AG4" s="17" t="s">
        <v>125</v>
      </c>
      <c r="AH4" s="17" t="s">
        <v>109</v>
      </c>
    </row>
    <row r="7" spans="1:34" x14ac:dyDescent="0.2">
      <c r="A7" s="28" t="s">
        <v>113</v>
      </c>
    </row>
    <row r="8" spans="1:34" s="3" customFormat="1" x14ac:dyDescent="0.2">
      <c r="A8" s="3" t="s">
        <v>96</v>
      </c>
      <c r="B8" s="3" t="s">
        <v>265</v>
      </c>
      <c r="C8" s="3">
        <f>'RCA exp g(l)'!H24</f>
        <v>6</v>
      </c>
      <c r="D8" s="3">
        <f>'RCA exp g(l)'!I24</f>
        <v>6</v>
      </c>
      <c r="E8" s="3">
        <f>'RCA exp g(l)'!J24</f>
        <v>6</v>
      </c>
      <c r="F8" s="3">
        <f>'RCA exp g(l)'!K24</f>
        <v>6</v>
      </c>
      <c r="G8" s="3">
        <f>'RCA exp g(l)'!L24</f>
        <v>6</v>
      </c>
      <c r="H8" s="3">
        <f>'RCA exp g(l)'!M24</f>
        <v>5</v>
      </c>
      <c r="I8" s="3">
        <f>'RCA exp g(l)'!N24</f>
        <v>5</v>
      </c>
      <c r="J8" s="3">
        <f>'RCA exp g(l)'!O24</f>
        <v>5</v>
      </c>
      <c r="K8" s="3">
        <f>'RCA exp g(l)'!P24</f>
        <v>5</v>
      </c>
      <c r="L8" s="3">
        <f>'RCA exp g(l)'!Q24</f>
        <v>0</v>
      </c>
      <c r="M8" s="3">
        <f>'RCA exp g(l)'!R24</f>
        <v>0</v>
      </c>
      <c r="N8" s="3">
        <f>'RCA exp g(l)'!S24</f>
        <v>0</v>
      </c>
      <c r="O8" s="3">
        <f>'RCA exp g(l)'!T24</f>
        <v>0</v>
      </c>
      <c r="P8" s="3">
        <f>'RCA exp g(l)'!U24</f>
        <v>0</v>
      </c>
      <c r="Q8" s="3">
        <f>'RCA exp g(l)'!V24</f>
        <v>0</v>
      </c>
      <c r="AG8" s="3">
        <f>SUM(C8:Y8)</f>
        <v>50</v>
      </c>
      <c r="AH8" s="3">
        <v>39</v>
      </c>
    </row>
    <row r="9" spans="1:34" s="3" customFormat="1" x14ac:dyDescent="0.2">
      <c r="A9" s="3" t="s">
        <v>97</v>
      </c>
      <c r="B9" s="3" t="s">
        <v>265</v>
      </c>
      <c r="C9" s="3">
        <f>'RCA exp g(l)'!H25</f>
        <v>8</v>
      </c>
      <c r="D9" s="3">
        <f>'RCA exp g(l)'!I25</f>
        <v>8</v>
      </c>
      <c r="E9" s="3">
        <f>'RCA exp g(l)'!J25</f>
        <v>8</v>
      </c>
      <c r="F9" s="3">
        <f>'RCA exp g(l)'!K25</f>
        <v>8</v>
      </c>
      <c r="G9" s="3">
        <f>'RCA exp g(l)'!L25</f>
        <v>9</v>
      </c>
      <c r="H9" s="3">
        <f>'RCA exp g(l)'!M25</f>
        <v>9</v>
      </c>
      <c r="I9" s="3">
        <f>'RCA exp g(l)'!N25</f>
        <v>9</v>
      </c>
      <c r="J9" s="3">
        <f>'RCA exp g(l)'!O25</f>
        <v>9</v>
      </c>
      <c r="K9" s="3">
        <f>'RCA exp g(l)'!P25</f>
        <v>9</v>
      </c>
      <c r="L9" s="3">
        <f>'RCA exp g(l)'!Q25</f>
        <v>0</v>
      </c>
      <c r="M9" s="3">
        <f>'RCA exp g(l)'!R25</f>
        <v>0</v>
      </c>
      <c r="N9" s="3">
        <f>'RCA exp g(l)'!S25</f>
        <v>0</v>
      </c>
      <c r="O9" s="3">
        <f>'RCA exp g(l)'!T25</f>
        <v>0</v>
      </c>
      <c r="P9" s="3">
        <f>'RCA exp g(l)'!U25</f>
        <v>0</v>
      </c>
      <c r="Q9" s="3">
        <f>'RCA exp g(l)'!V25</f>
        <v>0</v>
      </c>
      <c r="AG9" s="3">
        <f>SUM(C9:Y9)</f>
        <v>77</v>
      </c>
    </row>
    <row r="10" spans="1:34" s="3" customFormat="1" x14ac:dyDescent="0.2">
      <c r="A10" s="3" t="s">
        <v>98</v>
      </c>
      <c r="B10" s="3" t="s">
        <v>265</v>
      </c>
      <c r="C10" s="3">
        <f>'RCA exp g(l)'!H26</f>
        <v>2</v>
      </c>
      <c r="D10" s="3">
        <f>'RCA exp g(l)'!I26</f>
        <v>2</v>
      </c>
      <c r="E10" s="3">
        <f>'RCA exp g(l)'!J26</f>
        <v>2</v>
      </c>
      <c r="F10" s="3">
        <f>'RCA exp g(l)'!K26</f>
        <v>2</v>
      </c>
      <c r="G10" s="3">
        <f>'RCA exp g(l)'!L26</f>
        <v>2</v>
      </c>
      <c r="H10" s="3">
        <f>'RCA exp g(l)'!M26</f>
        <v>2</v>
      </c>
      <c r="I10" s="3">
        <f>'RCA exp g(l)'!N26</f>
        <v>2</v>
      </c>
      <c r="J10" s="3">
        <f>'RCA exp g(l)'!O26</f>
        <v>2</v>
      </c>
      <c r="K10" s="3">
        <f>'RCA exp g(l)'!P26</f>
        <v>1</v>
      </c>
      <c r="L10" s="3">
        <f>'RCA exp g(l)'!Q26</f>
        <v>1</v>
      </c>
      <c r="M10" s="3">
        <f>'RCA exp g(l)'!R26</f>
        <v>0</v>
      </c>
      <c r="N10" s="3">
        <f>'RCA exp g(l)'!S26</f>
        <v>0</v>
      </c>
      <c r="O10" s="3">
        <f>'RCA exp g(l)'!T26</f>
        <v>0</v>
      </c>
      <c r="P10" s="3">
        <f>'RCA exp g(l)'!U26</f>
        <v>0</v>
      </c>
      <c r="Q10" s="3">
        <f>'RCA exp g(l)'!V26</f>
        <v>0</v>
      </c>
      <c r="AG10" s="3">
        <f>SUM(C10:Y10)</f>
        <v>18</v>
      </c>
    </row>
    <row r="11" spans="1:34" s="3" customFormat="1" x14ac:dyDescent="0.2">
      <c r="A11" s="3" t="s">
        <v>99</v>
      </c>
      <c r="B11" s="3" t="s">
        <v>265</v>
      </c>
      <c r="C11" s="3">
        <f>'RCA exp g(l)'!H27</f>
        <v>6</v>
      </c>
      <c r="D11" s="3">
        <f>'RCA exp g(l)'!I27</f>
        <v>6</v>
      </c>
      <c r="E11" s="3">
        <f>'RCA exp g(l)'!J27</f>
        <v>6</v>
      </c>
      <c r="F11" s="3">
        <f>'RCA exp g(l)'!K27</f>
        <v>6</v>
      </c>
      <c r="G11" s="3">
        <f>'RCA exp g(l)'!L27</f>
        <v>6</v>
      </c>
      <c r="H11" s="3">
        <f>'RCA exp g(l)'!M27</f>
        <v>6</v>
      </c>
      <c r="I11" s="3">
        <f>'RCA exp g(l)'!N27</f>
        <v>6</v>
      </c>
      <c r="J11" s="3">
        <f>'RCA exp g(l)'!O27</f>
        <v>5</v>
      </c>
      <c r="K11" s="3">
        <f>'RCA exp g(l)'!P27</f>
        <v>5</v>
      </c>
      <c r="L11" s="3">
        <f>'RCA exp g(l)'!Q27</f>
        <v>5</v>
      </c>
      <c r="M11" s="3">
        <f>'RCA exp g(l)'!R27</f>
        <v>5</v>
      </c>
      <c r="N11" s="3">
        <f>'RCA exp g(l)'!S27</f>
        <v>5</v>
      </c>
      <c r="O11" s="3">
        <f>'RCA exp g(l)'!T27</f>
        <v>0</v>
      </c>
      <c r="P11" s="3">
        <f>'RCA exp g(l)'!U27</f>
        <v>0</v>
      </c>
      <c r="Q11" s="3">
        <f>'RCA exp g(l)'!V27</f>
        <v>0</v>
      </c>
      <c r="AG11" s="3">
        <f>SUM(C11:Y11)</f>
        <v>67</v>
      </c>
    </row>
    <row r="12" spans="1:34" s="3" customFormat="1" x14ac:dyDescent="0.2">
      <c r="A12" s="3" t="s">
        <v>100</v>
      </c>
      <c r="B12" s="3" t="s">
        <v>265</v>
      </c>
      <c r="C12" s="6">
        <f>'RCA exp g(l)'!H28</f>
        <v>-3</v>
      </c>
      <c r="D12" s="6">
        <f>'RCA exp g(l)'!I28</f>
        <v>-3</v>
      </c>
      <c r="E12" s="6">
        <f>'RCA exp g(l)'!J28</f>
        <v>-3</v>
      </c>
      <c r="F12" s="6">
        <f>'RCA exp g(l)'!K28</f>
        <v>-3</v>
      </c>
      <c r="G12" s="6">
        <f>'RCA exp g(l)'!L28</f>
        <v>-3</v>
      </c>
      <c r="H12" s="6">
        <f>'RCA exp g(l)'!M28</f>
        <v>-3</v>
      </c>
      <c r="I12" s="6">
        <f>'RCA exp g(l)'!N28</f>
        <v>-3</v>
      </c>
      <c r="J12" s="6">
        <f>'RCA exp g(l)'!O28</f>
        <v>-3</v>
      </c>
      <c r="K12" s="6">
        <f>'RCA exp g(l)'!P28</f>
        <v>-3</v>
      </c>
      <c r="L12" s="6">
        <f>'RCA exp g(l)'!Q28</f>
        <v>-3</v>
      </c>
      <c r="M12" s="6">
        <f>'RCA exp g(l)'!R28</f>
        <v>-3</v>
      </c>
      <c r="N12" s="6">
        <f>'RCA exp g(l)'!S28</f>
        <v>-3</v>
      </c>
      <c r="O12" s="6">
        <f>'RCA exp g(l)'!T28</f>
        <v>-2</v>
      </c>
      <c r="P12" s="6">
        <f>'RCA exp g(l)'!U28</f>
        <v>0</v>
      </c>
      <c r="Q12" s="6">
        <f>'RCA exp g(l)'!V28</f>
        <v>0</v>
      </c>
      <c r="R12" s="45"/>
      <c r="S12" s="45"/>
      <c r="T12" s="45"/>
      <c r="U12" s="45"/>
      <c r="V12" s="45"/>
      <c r="W12" s="45"/>
      <c r="X12" s="45"/>
      <c r="Y12" s="45"/>
      <c r="Z12" s="45"/>
      <c r="AA12" s="45"/>
      <c r="AB12" s="45"/>
      <c r="AC12" s="45"/>
      <c r="AD12" s="45"/>
      <c r="AE12" s="45"/>
      <c r="AF12" s="45"/>
    </row>
    <row r="13" spans="1:34" x14ac:dyDescent="0.2">
      <c r="A13" s="31" t="s">
        <v>266</v>
      </c>
      <c r="AG13" s="33">
        <f>SUM(AG8:AG12)</f>
        <v>212</v>
      </c>
      <c r="AH13" s="34">
        <f>SUM(AH8:AH12)</f>
        <v>39</v>
      </c>
    </row>
    <row r="15" spans="1:34" x14ac:dyDescent="0.2">
      <c r="A15" s="28" t="s">
        <v>127</v>
      </c>
    </row>
    <row r="16" spans="1:34" s="25" customFormat="1" ht="12" customHeight="1" x14ac:dyDescent="0.2">
      <c r="A16" s="25" t="s">
        <v>101</v>
      </c>
      <c r="B16" s="8" t="s">
        <v>131</v>
      </c>
      <c r="C16" s="36">
        <v>-5</v>
      </c>
      <c r="D16" s="36">
        <v>-5</v>
      </c>
      <c r="E16" s="36">
        <v>-5</v>
      </c>
      <c r="F16" s="36">
        <v>-4</v>
      </c>
      <c r="G16" s="36">
        <v>-4</v>
      </c>
      <c r="H16" s="36">
        <v>-4</v>
      </c>
      <c r="I16" s="36">
        <v>-4</v>
      </c>
      <c r="J16" s="36">
        <v>-4</v>
      </c>
      <c r="K16" s="36">
        <v>-4</v>
      </c>
      <c r="L16" s="36"/>
      <c r="M16" s="36"/>
      <c r="N16" s="36"/>
      <c r="O16" s="36"/>
      <c r="P16" s="36"/>
      <c r="Q16" s="36"/>
      <c r="R16" s="39"/>
      <c r="S16" s="39"/>
      <c r="T16" s="39"/>
      <c r="U16" s="39"/>
      <c r="V16" s="39"/>
      <c r="W16" s="39"/>
      <c r="X16" s="39"/>
      <c r="Y16" s="39"/>
      <c r="Z16" s="39"/>
      <c r="AA16" s="39"/>
      <c r="AB16" s="39"/>
      <c r="AC16" s="39"/>
      <c r="AD16" s="39"/>
      <c r="AE16" s="39"/>
      <c r="AF16" s="39"/>
      <c r="AG16" s="25">
        <f>SUM(C16:Y16)</f>
        <v>-39</v>
      </c>
    </row>
    <row r="18" spans="1:36" x14ac:dyDescent="0.2">
      <c r="AG18" s="16" t="s">
        <v>106</v>
      </c>
      <c r="AH18" s="3"/>
    </row>
    <row r="19" spans="1:36" x14ac:dyDescent="0.2">
      <c r="A19" s="28" t="s">
        <v>129</v>
      </c>
      <c r="AG19" s="399" t="s">
        <v>448</v>
      </c>
      <c r="AH19" s="17"/>
    </row>
    <row r="20" spans="1:36" s="3" customFormat="1" x14ac:dyDescent="0.2">
      <c r="A20" s="3" t="s">
        <v>96</v>
      </c>
      <c r="B20" s="3" t="s">
        <v>31</v>
      </c>
      <c r="C20" s="3">
        <f t="shared" ref="C20:K20" si="0">C8+C16</f>
        <v>1</v>
      </c>
      <c r="D20" s="3">
        <f t="shared" si="0"/>
        <v>1</v>
      </c>
      <c r="E20" s="3">
        <f t="shared" si="0"/>
        <v>1</v>
      </c>
      <c r="F20" s="3">
        <f t="shared" si="0"/>
        <v>2</v>
      </c>
      <c r="G20" s="3">
        <f t="shared" si="0"/>
        <v>2</v>
      </c>
      <c r="H20" s="3">
        <f t="shared" si="0"/>
        <v>1</v>
      </c>
      <c r="I20" s="3">
        <f t="shared" si="0"/>
        <v>1</v>
      </c>
      <c r="J20" s="3">
        <f t="shared" si="0"/>
        <v>1</v>
      </c>
      <c r="K20" s="3">
        <f t="shared" si="0"/>
        <v>1</v>
      </c>
      <c r="AG20" s="45">
        <f>SUM(R20:AF20)</f>
        <v>0</v>
      </c>
    </row>
    <row r="21" spans="1:36" s="3" customFormat="1" x14ac:dyDescent="0.2">
      <c r="A21" s="3" t="s">
        <v>97</v>
      </c>
      <c r="B21" s="3" t="s">
        <v>265</v>
      </c>
      <c r="C21" s="3">
        <f>'RCA exp g(l)'!H25</f>
        <v>8</v>
      </c>
      <c r="D21" s="3">
        <f>'RCA exp g(l)'!I25</f>
        <v>8</v>
      </c>
      <c r="E21" s="3">
        <f>'RCA exp g(l)'!J25</f>
        <v>8</v>
      </c>
      <c r="F21" s="3">
        <f>'RCA exp g(l)'!K25</f>
        <v>8</v>
      </c>
      <c r="G21" s="3">
        <f>'RCA exp g(l)'!L25</f>
        <v>9</v>
      </c>
      <c r="H21" s="3">
        <f>'RCA exp g(l)'!M25</f>
        <v>9</v>
      </c>
      <c r="I21" s="3">
        <f>'RCA exp g(l)'!N25</f>
        <v>9</v>
      </c>
      <c r="J21" s="3">
        <f>'RCA exp g(l)'!O25</f>
        <v>9</v>
      </c>
      <c r="K21" s="3">
        <f>'RCA exp g(l)'!P25</f>
        <v>9</v>
      </c>
      <c r="L21" s="3">
        <f>'RCA exp g(l)'!Q25</f>
        <v>0</v>
      </c>
      <c r="M21" s="3">
        <f>'RCA exp g(l)'!R25</f>
        <v>0</v>
      </c>
      <c r="N21" s="3">
        <f>'RCA exp g(l)'!S25</f>
        <v>0</v>
      </c>
      <c r="O21" s="3">
        <f>'RCA exp g(l)'!T25</f>
        <v>0</v>
      </c>
      <c r="AG21" s="45">
        <f t="shared" ref="AG21:AG39" si="1">SUM(R21:AF21)</f>
        <v>0</v>
      </c>
    </row>
    <row r="22" spans="1:36" s="3" customFormat="1" x14ac:dyDescent="0.2">
      <c r="A22" s="3" t="s">
        <v>98</v>
      </c>
      <c r="B22" s="3" t="s">
        <v>265</v>
      </c>
      <c r="C22" s="3">
        <f>'RCA exp g(l)'!H26</f>
        <v>2</v>
      </c>
      <c r="D22" s="3">
        <f>'RCA exp g(l)'!I26</f>
        <v>2</v>
      </c>
      <c r="E22" s="3">
        <f>'RCA exp g(l)'!J26</f>
        <v>2</v>
      </c>
      <c r="F22" s="3">
        <f>'RCA exp g(l)'!K26</f>
        <v>2</v>
      </c>
      <c r="G22" s="3">
        <f>'RCA exp g(l)'!L26</f>
        <v>2</v>
      </c>
      <c r="H22" s="3">
        <f>'RCA exp g(l)'!M26</f>
        <v>2</v>
      </c>
      <c r="I22" s="3">
        <f>'RCA exp g(l)'!N26</f>
        <v>2</v>
      </c>
      <c r="J22" s="3">
        <f>'RCA exp g(l)'!O26</f>
        <v>2</v>
      </c>
      <c r="K22" s="3">
        <f>'RCA exp g(l)'!P26</f>
        <v>1</v>
      </c>
      <c r="L22" s="3">
        <f>'RCA exp g(l)'!Q26</f>
        <v>1</v>
      </c>
      <c r="M22" s="3">
        <f>'RCA exp g(l)'!R26</f>
        <v>0</v>
      </c>
      <c r="N22" s="3">
        <f>'RCA exp g(l)'!S26</f>
        <v>0</v>
      </c>
      <c r="O22" s="3">
        <f>'RCA exp g(l)'!T26</f>
        <v>0</v>
      </c>
      <c r="AG22" s="45">
        <f t="shared" si="1"/>
        <v>0</v>
      </c>
    </row>
    <row r="23" spans="1:36" s="3" customFormat="1" x14ac:dyDescent="0.2">
      <c r="A23" s="3" t="s">
        <v>99</v>
      </c>
      <c r="B23" s="3" t="s">
        <v>265</v>
      </c>
      <c r="C23" s="3">
        <f>'RCA exp g(l)'!H27</f>
        <v>6</v>
      </c>
      <c r="D23" s="3">
        <f>'RCA exp g(l)'!I27</f>
        <v>6</v>
      </c>
      <c r="E23" s="3">
        <f>'RCA exp g(l)'!J27</f>
        <v>6</v>
      </c>
      <c r="F23" s="3">
        <f>'RCA exp g(l)'!K27</f>
        <v>6</v>
      </c>
      <c r="G23" s="3">
        <f>'RCA exp g(l)'!L27</f>
        <v>6</v>
      </c>
      <c r="H23" s="3">
        <f>'RCA exp g(l)'!M27</f>
        <v>6</v>
      </c>
      <c r="I23" s="3">
        <f>'RCA exp g(l)'!N27</f>
        <v>6</v>
      </c>
      <c r="J23" s="3">
        <f>'RCA exp g(l)'!O27</f>
        <v>5</v>
      </c>
      <c r="K23" s="3">
        <f>'RCA exp g(l)'!P27</f>
        <v>5</v>
      </c>
      <c r="L23" s="3">
        <f>'RCA exp g(l)'!Q27</f>
        <v>5</v>
      </c>
      <c r="M23" s="3">
        <f>'RCA exp g(l)'!R27</f>
        <v>5</v>
      </c>
      <c r="N23" s="3">
        <f>'RCA exp g(l)'!S27</f>
        <v>5</v>
      </c>
      <c r="O23" s="3">
        <f>'RCA exp g(l)'!T27</f>
        <v>0</v>
      </c>
      <c r="AG23" s="45">
        <f t="shared" si="1"/>
        <v>0</v>
      </c>
    </row>
    <row r="24" spans="1:36" s="3" customFormat="1" x14ac:dyDescent="0.2">
      <c r="A24" s="3" t="s">
        <v>100</v>
      </c>
      <c r="B24" s="3" t="s">
        <v>265</v>
      </c>
      <c r="C24" s="3">
        <f>'RCA exp g(l)'!H28</f>
        <v>-3</v>
      </c>
      <c r="D24" s="3">
        <f>'RCA exp g(l)'!I28</f>
        <v>-3</v>
      </c>
      <c r="E24" s="3">
        <f>'RCA exp g(l)'!J28</f>
        <v>-3</v>
      </c>
      <c r="F24" s="3">
        <f>'RCA exp g(l)'!K28</f>
        <v>-3</v>
      </c>
      <c r="G24" s="3">
        <f>'RCA exp g(l)'!L28</f>
        <v>-3</v>
      </c>
      <c r="H24" s="3">
        <f>'RCA exp g(l)'!M28</f>
        <v>-3</v>
      </c>
      <c r="I24" s="3">
        <f>'RCA exp g(l)'!N28</f>
        <v>-3</v>
      </c>
      <c r="J24" s="3">
        <f>'RCA exp g(l)'!O28</f>
        <v>-3</v>
      </c>
      <c r="K24" s="3">
        <f>'RCA exp g(l)'!P28</f>
        <v>-3</v>
      </c>
      <c r="L24" s="3">
        <f>'RCA exp g(l)'!Q28</f>
        <v>-3</v>
      </c>
      <c r="M24" s="3">
        <f>'RCA exp g(l)'!R28</f>
        <v>-3</v>
      </c>
      <c r="N24" s="3">
        <f>'RCA exp g(l)'!S28</f>
        <v>-3</v>
      </c>
      <c r="O24" s="3">
        <f>'RCA exp g(l)'!T28</f>
        <v>-2</v>
      </c>
      <c r="AG24" s="45">
        <f t="shared" si="1"/>
        <v>0</v>
      </c>
    </row>
    <row r="25" spans="1:36" s="3" customFormat="1" x14ac:dyDescent="0.2">
      <c r="A25" s="3" t="s">
        <v>101</v>
      </c>
      <c r="B25" s="3" t="s">
        <v>265</v>
      </c>
      <c r="C25" s="45">
        <f>'RCA exp g(l)'!H29</f>
        <v>2</v>
      </c>
      <c r="D25" s="45">
        <f>'RCA exp g(l)'!I29</f>
        <v>2</v>
      </c>
      <c r="E25" s="45">
        <f>'RCA exp g(l)'!J29</f>
        <v>2</v>
      </c>
      <c r="F25" s="45">
        <f>'RCA exp g(l)'!K29</f>
        <v>2</v>
      </c>
      <c r="G25" s="45">
        <f>'RCA exp g(l)'!L29</f>
        <v>2</v>
      </c>
      <c r="H25" s="45">
        <f>'RCA exp g(l)'!M29</f>
        <v>2</v>
      </c>
      <c r="I25" s="45">
        <f>'RCA exp g(l)'!N29</f>
        <v>2</v>
      </c>
      <c r="J25" s="45">
        <f>'RCA exp g(l)'!O29</f>
        <v>2</v>
      </c>
      <c r="K25" s="45">
        <f>'RCA exp g(l)'!P29</f>
        <v>2</v>
      </c>
      <c r="L25" s="45">
        <f>'RCA exp g(l)'!Q29</f>
        <v>2</v>
      </c>
      <c r="M25" s="45">
        <f>'RCA exp g(l)'!R29</f>
        <v>2</v>
      </c>
      <c r="N25" s="45">
        <f>'RCA exp g(l)'!S29</f>
        <v>2</v>
      </c>
      <c r="O25" s="45">
        <f>'RCA exp g(l)'!T29</f>
        <v>2</v>
      </c>
      <c r="P25" s="45"/>
      <c r="Q25" s="45"/>
      <c r="R25" s="45"/>
      <c r="S25" s="45"/>
      <c r="T25" s="45"/>
      <c r="U25" s="45"/>
      <c r="V25" s="45"/>
      <c r="W25" s="45"/>
      <c r="X25" s="45"/>
      <c r="Y25" s="45"/>
      <c r="Z25" s="45"/>
      <c r="AA25" s="45"/>
      <c r="AB25" s="45"/>
      <c r="AC25" s="45"/>
      <c r="AD25" s="45"/>
      <c r="AE25" s="45"/>
      <c r="AF25" s="45"/>
      <c r="AG25" s="45">
        <f t="shared" si="1"/>
        <v>0</v>
      </c>
      <c r="AH25" s="45"/>
    </row>
    <row r="26" spans="1:36" s="3" customFormat="1" x14ac:dyDescent="0.2">
      <c r="A26" s="3" t="s">
        <v>102</v>
      </c>
      <c r="B26" s="3" t="s">
        <v>265</v>
      </c>
      <c r="C26" s="45"/>
      <c r="D26" s="45">
        <f>'RCA exp g(l)'!I30</f>
        <v>-6</v>
      </c>
      <c r="E26" s="45">
        <f>'RCA exp g(l)'!J30</f>
        <v>-6</v>
      </c>
      <c r="F26" s="45">
        <f>'RCA exp g(l)'!K30</f>
        <v>-6</v>
      </c>
      <c r="G26" s="45">
        <f>'RCA exp g(l)'!L30</f>
        <v>-6</v>
      </c>
      <c r="H26" s="45">
        <f>'RCA exp g(l)'!M30</f>
        <v>-6</v>
      </c>
      <c r="I26" s="45">
        <f>'RCA exp g(l)'!N30</f>
        <v>-5</v>
      </c>
      <c r="J26" s="45">
        <f>'RCA exp g(l)'!O30</f>
        <v>-5</v>
      </c>
      <c r="K26" s="45">
        <f>'RCA exp g(l)'!P30</f>
        <v>-5</v>
      </c>
      <c r="L26" s="45">
        <f>'RCA exp g(l)'!Q30</f>
        <v>-5</v>
      </c>
      <c r="M26" s="45">
        <f>'RCA exp g(l)'!R30</f>
        <v>-5</v>
      </c>
      <c r="N26" s="45">
        <f>'RCA exp g(l)'!S30</f>
        <v>-5</v>
      </c>
      <c r="O26" s="45">
        <f>'RCA exp g(l)'!T30</f>
        <v>-5</v>
      </c>
      <c r="P26" s="45">
        <f>'RCA exp g(l)'!U30</f>
        <v>-6</v>
      </c>
      <c r="Q26" s="45"/>
      <c r="R26" s="45"/>
      <c r="S26" s="45"/>
      <c r="T26" s="45"/>
      <c r="U26" s="45"/>
      <c r="V26" s="45"/>
      <c r="W26" s="45"/>
      <c r="X26" s="45"/>
      <c r="Y26" s="45"/>
      <c r="Z26" s="45"/>
      <c r="AA26" s="45"/>
      <c r="AB26" s="45"/>
      <c r="AC26" s="45"/>
      <c r="AD26" s="45"/>
      <c r="AE26" s="45"/>
      <c r="AF26" s="45"/>
      <c r="AG26" s="45">
        <f t="shared" si="1"/>
        <v>0</v>
      </c>
      <c r="AH26" s="45"/>
      <c r="AI26" s="45"/>
      <c r="AJ26" s="45"/>
    </row>
    <row r="27" spans="1:36" s="3" customFormat="1" x14ac:dyDescent="0.2">
      <c r="A27" s="3" t="s">
        <v>308</v>
      </c>
      <c r="B27" s="3" t="s">
        <v>265</v>
      </c>
      <c r="C27" s="45"/>
      <c r="D27" s="45"/>
      <c r="E27" s="45">
        <f>'RCA exp g(l)'!J31</f>
        <v>26</v>
      </c>
      <c r="F27" s="45">
        <f>'RCA exp g(l)'!K31</f>
        <v>26</v>
      </c>
      <c r="G27" s="45">
        <f>'RCA exp g(l)'!L31</f>
        <v>26</v>
      </c>
      <c r="H27" s="45">
        <f>'RCA exp g(l)'!M31</f>
        <v>26</v>
      </c>
      <c r="I27" s="45">
        <f>'RCA exp g(l)'!N31</f>
        <v>26</v>
      </c>
      <c r="J27" s="45">
        <f>'RCA exp g(l)'!O31</f>
        <v>26</v>
      </c>
      <c r="K27" s="45">
        <f>'RCA exp g(l)'!P31</f>
        <v>26</v>
      </c>
      <c r="L27" s="45">
        <f>'RCA exp g(l)'!Q31</f>
        <v>26</v>
      </c>
      <c r="M27" s="45">
        <f>'RCA exp g(l)'!R31</f>
        <v>26</v>
      </c>
      <c r="N27" s="45">
        <f>'RCA exp g(l)'!S31</f>
        <v>26</v>
      </c>
      <c r="O27" s="45">
        <f>'RCA exp g(l)'!T31</f>
        <v>26</v>
      </c>
      <c r="P27" s="45">
        <f>'RCA exp g(l)'!U31</f>
        <v>26</v>
      </c>
      <c r="Q27" s="45">
        <f>'RCA exp g(l)'!V31</f>
        <v>26</v>
      </c>
      <c r="R27" s="45"/>
      <c r="S27" s="45"/>
      <c r="T27" s="45"/>
      <c r="U27" s="45"/>
      <c r="V27" s="45"/>
      <c r="W27" s="45"/>
      <c r="X27" s="45"/>
      <c r="Y27" s="45"/>
      <c r="Z27" s="45"/>
      <c r="AA27" s="45"/>
      <c r="AB27" s="45"/>
      <c r="AC27" s="45"/>
      <c r="AD27" s="45"/>
      <c r="AE27" s="45"/>
      <c r="AF27" s="45"/>
      <c r="AG27" s="45">
        <f t="shared" si="1"/>
        <v>0</v>
      </c>
      <c r="AH27" s="45"/>
      <c r="AI27" s="45"/>
      <c r="AJ27" s="45"/>
    </row>
    <row r="28" spans="1:36" s="3" customFormat="1" x14ac:dyDescent="0.2">
      <c r="A28" s="3" t="s">
        <v>310</v>
      </c>
      <c r="B28" s="3" t="s">
        <v>265</v>
      </c>
      <c r="C28" s="45"/>
      <c r="D28" s="45"/>
      <c r="E28" s="45"/>
      <c r="F28" s="45">
        <f>'RCA exp g(l)'!K32</f>
        <v>-1</v>
      </c>
      <c r="G28" s="45">
        <f>'RCA exp g(l)'!L32</f>
        <v>-1</v>
      </c>
      <c r="H28" s="45">
        <f>'RCA exp g(l)'!M32</f>
        <v>-1</v>
      </c>
      <c r="I28" s="45">
        <f>'RCA exp g(l)'!N32</f>
        <v>-1</v>
      </c>
      <c r="J28" s="45">
        <f>'RCA exp g(l)'!O32</f>
        <v>-1</v>
      </c>
      <c r="K28" s="45">
        <f>'RCA exp g(l)'!P32</f>
        <v>-1</v>
      </c>
      <c r="L28" s="45">
        <f>'RCA exp g(l)'!Q32</f>
        <v>-1</v>
      </c>
      <c r="M28" s="45">
        <f>'RCA exp g(l)'!R32</f>
        <v>-1</v>
      </c>
      <c r="N28" s="45">
        <f>'RCA exp g(l)'!S32</f>
        <v>-2</v>
      </c>
      <c r="O28" s="45">
        <f>'RCA exp g(l)'!T32</f>
        <v>-2</v>
      </c>
      <c r="P28" s="45">
        <f>'RCA exp g(l)'!U32</f>
        <v>-2</v>
      </c>
      <c r="Q28" s="45">
        <f>'RCA exp g(l)'!V32</f>
        <v>-2</v>
      </c>
      <c r="R28" s="45">
        <f>'RCA exp g(l)'!W32</f>
        <v>-2</v>
      </c>
      <c r="S28" s="45"/>
      <c r="T28" s="45"/>
      <c r="U28" s="45"/>
      <c r="V28" s="45"/>
      <c r="W28" s="45"/>
      <c r="X28" s="45"/>
      <c r="Y28" s="45"/>
      <c r="Z28" s="45"/>
      <c r="AA28" s="45"/>
      <c r="AB28" s="45"/>
      <c r="AC28" s="45"/>
      <c r="AD28" s="45"/>
      <c r="AE28" s="45"/>
      <c r="AF28" s="45"/>
      <c r="AG28" s="45">
        <f t="shared" si="1"/>
        <v>-2</v>
      </c>
      <c r="AH28" s="45"/>
      <c r="AI28" s="45"/>
      <c r="AJ28" s="45"/>
    </row>
    <row r="29" spans="1:36" s="3" customFormat="1" x14ac:dyDescent="0.2">
      <c r="A29" s="3" t="s">
        <v>311</v>
      </c>
      <c r="B29" s="3" t="s">
        <v>265</v>
      </c>
      <c r="C29" s="45"/>
      <c r="D29" s="45"/>
      <c r="E29" s="45"/>
      <c r="F29" s="45"/>
      <c r="G29" s="45"/>
      <c r="H29" s="45">
        <f>'RCA exp g(l)'!M33</f>
        <v>3</v>
      </c>
      <c r="I29" s="45">
        <f>'RCA exp g(l)'!N33</f>
        <v>3</v>
      </c>
      <c r="J29" s="45">
        <f>'RCA exp g(l)'!O33</f>
        <v>3</v>
      </c>
      <c r="K29" s="45">
        <f>'RCA exp g(l)'!P33</f>
        <v>3</v>
      </c>
      <c r="L29" s="45">
        <f>'RCA exp g(l)'!Q33</f>
        <v>3</v>
      </c>
      <c r="M29" s="45">
        <f>'RCA exp g(l)'!R33</f>
        <v>3</v>
      </c>
      <c r="N29" s="45">
        <f>'RCA exp g(l)'!S33</f>
        <v>3</v>
      </c>
      <c r="O29" s="45">
        <f>'RCA exp g(l)'!T33</f>
        <v>3</v>
      </c>
      <c r="P29" s="45">
        <f>'RCA exp g(l)'!U33</f>
        <v>2</v>
      </c>
      <c r="Q29" s="45">
        <f>'RCA exp g(l)'!V33</f>
        <v>2</v>
      </c>
      <c r="R29" s="45">
        <f>'RCA exp g(l)'!W33</f>
        <v>2</v>
      </c>
      <c r="S29" s="45">
        <f>'RCA exp g(l)'!X33</f>
        <v>2</v>
      </c>
      <c r="T29" s="45">
        <f>'RCA exp g(l)'!Y33</f>
        <v>2</v>
      </c>
      <c r="U29" s="45"/>
      <c r="V29" s="45"/>
      <c r="W29" s="45"/>
      <c r="X29" s="45"/>
      <c r="Y29" s="45"/>
      <c r="Z29" s="45"/>
      <c r="AA29" s="45"/>
      <c r="AB29" s="45"/>
      <c r="AC29" s="45"/>
      <c r="AD29" s="45"/>
      <c r="AE29" s="45"/>
      <c r="AF29" s="45"/>
      <c r="AG29" s="45">
        <f t="shared" si="1"/>
        <v>6</v>
      </c>
      <c r="AH29" s="45"/>
      <c r="AI29" s="45"/>
      <c r="AJ29" s="45"/>
    </row>
    <row r="30" spans="1:36" s="3" customFormat="1" x14ac:dyDescent="0.2">
      <c r="A30" s="3" t="s">
        <v>312</v>
      </c>
      <c r="B30" s="3" t="s">
        <v>265</v>
      </c>
      <c r="C30" s="45"/>
      <c r="D30" s="45"/>
      <c r="E30" s="45"/>
      <c r="F30" s="45"/>
      <c r="G30" s="45"/>
      <c r="H30" s="45"/>
      <c r="I30" s="45">
        <f>'RCA exp g(l)'!N34</f>
        <v>-2</v>
      </c>
      <c r="J30" s="45">
        <f>'RCA exp g(l)'!O34</f>
        <v>-2</v>
      </c>
      <c r="K30" s="45">
        <f>'RCA exp g(l)'!P34</f>
        <v>-2</v>
      </c>
      <c r="L30" s="45">
        <f>'RCA exp g(l)'!Q34</f>
        <v>-2</v>
      </c>
      <c r="M30" s="45">
        <f>'RCA exp g(l)'!R34</f>
        <v>-2</v>
      </c>
      <c r="N30" s="45">
        <f>'RCA exp g(l)'!S34</f>
        <v>-2</v>
      </c>
      <c r="O30" s="45">
        <f>'RCA exp g(l)'!T34</f>
        <v>-2</v>
      </c>
      <c r="P30" s="45">
        <f>'RCA exp g(l)'!U34</f>
        <v>-2</v>
      </c>
      <c r="Q30" s="45">
        <f>'RCA exp g(l)'!V34</f>
        <v>-2</v>
      </c>
      <c r="R30" s="45">
        <f>'RCA exp g(l)'!W34</f>
        <v>-2</v>
      </c>
      <c r="S30" s="45">
        <f>'RCA exp g(l)'!X34</f>
        <v>-2</v>
      </c>
      <c r="T30" s="45">
        <f>'RCA exp g(l)'!Y34</f>
        <v>-3</v>
      </c>
      <c r="U30" s="45">
        <f>'RCA exp g(l)'!Z34</f>
        <v>-3</v>
      </c>
      <c r="V30" s="45">
        <f>'RCA exp g(l)'!AA34</f>
        <v>-3</v>
      </c>
      <c r="W30" s="45"/>
      <c r="X30" s="45"/>
      <c r="Y30" s="45"/>
      <c r="Z30" s="45"/>
      <c r="AA30" s="45"/>
      <c r="AB30" s="45"/>
      <c r="AC30" s="45"/>
      <c r="AD30" s="45"/>
      <c r="AE30" s="45"/>
      <c r="AF30" s="45"/>
      <c r="AG30" s="45">
        <f t="shared" si="1"/>
        <v>-13</v>
      </c>
      <c r="AH30" s="45"/>
      <c r="AI30" s="45"/>
      <c r="AJ30" s="45"/>
    </row>
    <row r="31" spans="1:36" s="3" customFormat="1" x14ac:dyDescent="0.2">
      <c r="A31" s="3" t="s">
        <v>313</v>
      </c>
      <c r="B31" s="3" t="s">
        <v>265</v>
      </c>
      <c r="C31" s="45"/>
      <c r="D31" s="45"/>
      <c r="E31" s="45"/>
      <c r="F31" s="45"/>
      <c r="G31" s="45"/>
      <c r="H31" s="45"/>
      <c r="I31" s="45"/>
      <c r="J31" s="45">
        <f>'RCA exp g(l)'!O35</f>
        <v>-2</v>
      </c>
      <c r="K31" s="45">
        <f>'RCA exp g(l)'!P35</f>
        <v>-2</v>
      </c>
      <c r="L31" s="45">
        <f>'RCA exp g(l)'!Q35</f>
        <v>-2</v>
      </c>
      <c r="M31" s="45">
        <f>'RCA exp g(l)'!R35</f>
        <v>-2</v>
      </c>
      <c r="N31" s="45">
        <f>'RCA exp g(l)'!S35</f>
        <v>-2</v>
      </c>
      <c r="O31" s="45">
        <f>'RCA exp g(l)'!T35</f>
        <v>-2</v>
      </c>
      <c r="P31" s="45">
        <f>'RCA exp g(l)'!U35</f>
        <v>-2</v>
      </c>
      <c r="Q31" s="45">
        <f>'RCA exp g(l)'!V35</f>
        <v>-2</v>
      </c>
      <c r="R31" s="45">
        <f>'RCA exp g(l)'!W35</f>
        <v>-2</v>
      </c>
      <c r="S31" s="45">
        <f>'RCA exp g(l)'!X35</f>
        <v>-2</v>
      </c>
      <c r="T31" s="45">
        <f>'RCA exp g(l)'!Y35</f>
        <v>-2</v>
      </c>
      <c r="U31" s="45">
        <f>'RCA exp g(l)'!Z35</f>
        <v>-2</v>
      </c>
      <c r="V31" s="45">
        <f>'RCA exp g(l)'!AA35</f>
        <v>-2</v>
      </c>
      <c r="W31" s="45">
        <f>'RCA exp g(l)'!AB35</f>
        <v>-1</v>
      </c>
      <c r="X31" s="45"/>
      <c r="Y31" s="45"/>
      <c r="Z31" s="45"/>
      <c r="AA31" s="45"/>
      <c r="AB31" s="45"/>
      <c r="AC31" s="45"/>
      <c r="AD31" s="45"/>
      <c r="AE31" s="45"/>
      <c r="AF31" s="45"/>
      <c r="AG31" s="45">
        <f t="shared" si="1"/>
        <v>-11</v>
      </c>
      <c r="AH31" s="45"/>
      <c r="AI31" s="45"/>
      <c r="AJ31" s="45"/>
    </row>
    <row r="32" spans="1:36" s="3" customFormat="1" x14ac:dyDescent="0.2">
      <c r="A32" s="3" t="s">
        <v>314</v>
      </c>
      <c r="B32" s="3" t="s">
        <v>265</v>
      </c>
      <c r="C32" s="45"/>
      <c r="D32" s="45"/>
      <c r="E32" s="45"/>
      <c r="F32" s="45"/>
      <c r="G32" s="45"/>
      <c r="H32" s="45"/>
      <c r="I32" s="45"/>
      <c r="J32" s="45"/>
      <c r="K32" s="45">
        <f>'RCA exp g(l)'!P36</f>
        <v>2</v>
      </c>
      <c r="L32" s="45">
        <f>'RCA exp g(l)'!Q36</f>
        <v>2</v>
      </c>
      <c r="M32" s="45">
        <f>'RCA exp g(l)'!R36</f>
        <v>2</v>
      </c>
      <c r="N32" s="45">
        <f>'RCA exp g(l)'!S36</f>
        <v>2</v>
      </c>
      <c r="O32" s="45">
        <f>'RCA exp g(l)'!T36</f>
        <v>2</v>
      </c>
      <c r="P32" s="45">
        <f>'RCA exp g(l)'!U36</f>
        <v>2</v>
      </c>
      <c r="Q32" s="45">
        <f>'RCA exp g(l)'!V36</f>
        <v>2</v>
      </c>
      <c r="R32" s="45">
        <f>'RCA exp g(l)'!W36</f>
        <v>2</v>
      </c>
      <c r="S32" s="45">
        <f>'RCA exp g(l)'!X36</f>
        <v>2</v>
      </c>
      <c r="T32" s="45">
        <f>'RCA exp g(l)'!Y36</f>
        <v>2</v>
      </c>
      <c r="U32" s="45">
        <f>'RCA exp g(l)'!Z36</f>
        <v>2</v>
      </c>
      <c r="V32" s="45">
        <f>'RCA exp g(l)'!AA36</f>
        <v>2</v>
      </c>
      <c r="W32" s="45">
        <f>'RCA exp g(l)'!AB36</f>
        <v>2</v>
      </c>
      <c r="X32" s="45">
        <f>'RCA exp g(l)'!AC36</f>
        <v>4</v>
      </c>
      <c r="Y32" s="45">
        <f>'RCA exp g(l)'!AD36</f>
        <v>0</v>
      </c>
      <c r="Z32" s="45"/>
      <c r="AA32" s="45"/>
      <c r="AB32" s="45"/>
      <c r="AC32" s="45"/>
      <c r="AD32" s="45"/>
      <c r="AE32" s="45"/>
      <c r="AF32" s="45"/>
      <c r="AG32" s="45">
        <f t="shared" si="1"/>
        <v>16</v>
      </c>
      <c r="AH32" s="45"/>
      <c r="AI32" s="45"/>
      <c r="AJ32" s="45"/>
    </row>
    <row r="33" spans="1:36" s="3" customFormat="1" x14ac:dyDescent="0.2">
      <c r="A33" s="3" t="s">
        <v>329</v>
      </c>
      <c r="B33" s="3" t="s">
        <v>265</v>
      </c>
      <c r="C33" s="45"/>
      <c r="D33" s="45"/>
      <c r="E33" s="45"/>
      <c r="F33" s="45"/>
      <c r="G33" s="45"/>
      <c r="H33" s="45"/>
      <c r="I33" s="45"/>
      <c r="J33" s="45"/>
      <c r="K33" s="45"/>
      <c r="L33" s="45">
        <f>'RCA exp g(l)'!Q37</f>
        <v>-4</v>
      </c>
      <c r="M33" s="45">
        <f>'RCA exp g(l)'!R37</f>
        <v>-4</v>
      </c>
      <c r="N33" s="45">
        <f>'RCA exp g(l)'!S37</f>
        <v>-4</v>
      </c>
      <c r="O33" s="45">
        <f>'RCA exp g(l)'!T37</f>
        <v>-4</v>
      </c>
      <c r="P33" s="45">
        <f>'RCA exp g(l)'!U37</f>
        <v>-4</v>
      </c>
      <c r="Q33" s="45">
        <f>'RCA exp g(l)'!V37</f>
        <v>-4</v>
      </c>
      <c r="R33" s="45">
        <f>'RCA exp g(l)'!W37</f>
        <v>-4</v>
      </c>
      <c r="S33" s="45">
        <f>'RCA exp g(l)'!X37</f>
        <v>-4</v>
      </c>
      <c r="T33" s="45">
        <f>'RCA exp g(l)'!Y37</f>
        <v>-4</v>
      </c>
      <c r="U33" s="45">
        <f>'RCA exp g(l)'!Z37</f>
        <v>-4</v>
      </c>
      <c r="V33" s="45">
        <f>'RCA exp g(l)'!AA37</f>
        <v>-4</v>
      </c>
      <c r="W33" s="45">
        <f>'RCA exp g(l)'!AB37</f>
        <v>-4</v>
      </c>
      <c r="X33" s="45">
        <f>'RCA exp g(l)'!AC37</f>
        <v>-4</v>
      </c>
      <c r="Y33" s="45">
        <f>'RCA exp g(l)'!AD37</f>
        <v>-7</v>
      </c>
      <c r="Z33" s="45"/>
      <c r="AA33" s="45"/>
      <c r="AB33" s="45"/>
      <c r="AC33" s="45"/>
      <c r="AD33" s="45"/>
      <c r="AE33" s="45"/>
      <c r="AF33" s="45"/>
      <c r="AG33" s="45">
        <f t="shared" si="1"/>
        <v>-35</v>
      </c>
      <c r="AH33" s="45"/>
      <c r="AI33" s="45"/>
      <c r="AJ33" s="45"/>
    </row>
    <row r="34" spans="1:36" s="3" customFormat="1" x14ac:dyDescent="0.2">
      <c r="A34" s="3" t="s">
        <v>332</v>
      </c>
      <c r="B34" s="3" t="s">
        <v>265</v>
      </c>
      <c r="C34" s="45"/>
      <c r="D34" s="45"/>
      <c r="E34" s="45"/>
      <c r="F34" s="45"/>
      <c r="G34" s="45"/>
      <c r="H34" s="45"/>
      <c r="I34" s="45"/>
      <c r="J34" s="45"/>
      <c r="K34" s="45"/>
      <c r="L34" s="45"/>
      <c r="M34" s="45">
        <f>'RCA exp g(l)'!R38</f>
        <v>-5</v>
      </c>
      <c r="N34" s="45">
        <f>'RCA exp g(l)'!S38</f>
        <v>-5</v>
      </c>
      <c r="O34" s="45">
        <f>'RCA exp g(l)'!T38</f>
        <v>-5</v>
      </c>
      <c r="P34" s="45">
        <f>'RCA exp g(l)'!U38</f>
        <v>-5</v>
      </c>
      <c r="Q34" s="45">
        <f>'RCA exp g(l)'!V38</f>
        <v>-5</v>
      </c>
      <c r="R34" s="45">
        <f>'RCA exp g(l)'!W38</f>
        <v>-5</v>
      </c>
      <c r="S34" s="45">
        <f>'RCA exp g(l)'!X38</f>
        <v>-5</v>
      </c>
      <c r="T34" s="45">
        <f>'RCA exp g(l)'!Y38</f>
        <v>-5</v>
      </c>
      <c r="U34" s="45">
        <f>'RCA exp g(l)'!Z38</f>
        <v>-5</v>
      </c>
      <c r="V34" s="45">
        <f>'RCA exp g(l)'!AA38</f>
        <v>-5</v>
      </c>
      <c r="W34" s="45">
        <f>'RCA exp g(l)'!AB38</f>
        <v>-5</v>
      </c>
      <c r="X34" s="45">
        <f>'RCA exp g(l)'!AC38</f>
        <v>-6</v>
      </c>
      <c r="Y34" s="45">
        <f>'RCA exp g(l)'!AD38</f>
        <v>-6</v>
      </c>
      <c r="Z34" s="45">
        <f>'RCA exp g(l)'!AE38</f>
        <v>-6</v>
      </c>
      <c r="AA34" s="45"/>
      <c r="AB34" s="45"/>
      <c r="AC34" s="45"/>
      <c r="AD34" s="45"/>
      <c r="AE34" s="45"/>
      <c r="AF34" s="45"/>
      <c r="AG34" s="45">
        <f t="shared" si="1"/>
        <v>-48</v>
      </c>
      <c r="AH34" s="45"/>
      <c r="AI34" s="45"/>
      <c r="AJ34" s="45"/>
    </row>
    <row r="35" spans="1:36" s="3" customFormat="1" x14ac:dyDescent="0.2">
      <c r="A35" s="298" t="s">
        <v>336</v>
      </c>
      <c r="B35" s="298" t="s">
        <v>265</v>
      </c>
      <c r="C35" s="45"/>
      <c r="D35" s="45"/>
      <c r="E35" s="45"/>
      <c r="F35" s="45"/>
      <c r="G35" s="45"/>
      <c r="H35" s="45"/>
      <c r="I35" s="45"/>
      <c r="J35" s="45"/>
      <c r="K35" s="45"/>
      <c r="L35" s="45"/>
      <c r="M35" s="45"/>
      <c r="N35" s="45">
        <f>'RCA exp g(l)'!S39</f>
        <v>1</v>
      </c>
      <c r="O35" s="45">
        <f>'RCA exp g(l)'!T39</f>
        <v>1</v>
      </c>
      <c r="P35" s="45">
        <f>'RCA exp g(l)'!U39</f>
        <v>1</v>
      </c>
      <c r="Q35" s="45">
        <f>'RCA exp g(l)'!V39</f>
        <v>1</v>
      </c>
      <c r="R35" s="45">
        <f>'RCA exp g(l)'!W39</f>
        <v>1</v>
      </c>
      <c r="S35" s="45">
        <f>'RCA exp g(l)'!X39</f>
        <v>1</v>
      </c>
      <c r="T35" s="45">
        <f>'RCA exp g(l)'!Y39</f>
        <v>1</v>
      </c>
      <c r="U35" s="45">
        <f>'RCA exp g(l)'!Z39</f>
        <v>1</v>
      </c>
      <c r="V35" s="45">
        <f>'RCA exp g(l)'!AA39</f>
        <v>1</v>
      </c>
      <c r="W35" s="45">
        <f>'RCA exp g(l)'!AB39</f>
        <v>0</v>
      </c>
      <c r="X35" s="45">
        <f>'RCA exp g(l)'!AC39</f>
        <v>0</v>
      </c>
      <c r="Y35" s="45">
        <f>'RCA exp g(l)'!AD39</f>
        <v>0</v>
      </c>
      <c r="Z35" s="45">
        <f>'RCA exp g(l)'!AE39</f>
        <v>0</v>
      </c>
      <c r="AA35" s="45">
        <f>'RCA exp g(l)'!AF39</f>
        <v>0</v>
      </c>
      <c r="AB35" s="45"/>
      <c r="AC35" s="45"/>
      <c r="AD35" s="45"/>
      <c r="AE35" s="45"/>
      <c r="AF35" s="45"/>
      <c r="AG35" s="45">
        <f t="shared" si="1"/>
        <v>5</v>
      </c>
      <c r="AH35" s="45"/>
      <c r="AI35" s="45"/>
      <c r="AJ35" s="45"/>
    </row>
    <row r="36" spans="1:36" s="3" customFormat="1" x14ac:dyDescent="0.2">
      <c r="A36" s="9" t="s">
        <v>350</v>
      </c>
      <c r="B36" s="9" t="s">
        <v>265</v>
      </c>
      <c r="C36" s="45"/>
      <c r="D36" s="45"/>
      <c r="E36" s="45"/>
      <c r="F36" s="45"/>
      <c r="G36" s="45"/>
      <c r="H36" s="45"/>
      <c r="I36" s="45"/>
      <c r="J36" s="45"/>
      <c r="K36" s="45"/>
      <c r="L36" s="45"/>
      <c r="M36" s="45"/>
      <c r="N36" s="45"/>
      <c r="O36" s="45">
        <f>'RCA exp g(l)'!T40</f>
        <v>2</v>
      </c>
      <c r="P36" s="45">
        <f>'RCA exp g(l)'!U40</f>
        <v>2</v>
      </c>
      <c r="Q36" s="45">
        <f>'RCA exp g(l)'!V40</f>
        <v>2</v>
      </c>
      <c r="R36" s="45">
        <f>'RCA exp g(l)'!W40</f>
        <v>2</v>
      </c>
      <c r="S36" s="45">
        <f>'RCA exp g(l)'!X40</f>
        <v>2</v>
      </c>
      <c r="T36" s="45">
        <f>'RCA exp g(l)'!Y40</f>
        <v>2</v>
      </c>
      <c r="U36" s="45">
        <f>'RCA exp g(l)'!Z40</f>
        <v>2</v>
      </c>
      <c r="V36" s="45">
        <f>'RCA exp g(l)'!AA40</f>
        <v>2</v>
      </c>
      <c r="W36" s="45">
        <f>'RCA exp g(l)'!AB40</f>
        <v>2</v>
      </c>
      <c r="X36" s="45">
        <f>'RCA exp g(l)'!AC40</f>
        <v>2</v>
      </c>
      <c r="Y36" s="45">
        <f>'RCA exp g(l)'!AD40</f>
        <v>2</v>
      </c>
      <c r="Z36" s="45">
        <f>'RCA exp g(l)'!AE40</f>
        <v>2</v>
      </c>
      <c r="AA36" s="45">
        <f>'RCA exp g(l)'!AF40</f>
        <v>2</v>
      </c>
      <c r="AB36" s="45">
        <f>'RCA exp g(l)'!AG40</f>
        <v>1</v>
      </c>
      <c r="AC36" s="45"/>
      <c r="AD36" s="45"/>
      <c r="AE36" s="45"/>
      <c r="AF36" s="45"/>
      <c r="AG36" s="45">
        <f t="shared" si="1"/>
        <v>21</v>
      </c>
      <c r="AH36" s="6"/>
      <c r="AI36" s="45"/>
      <c r="AJ36" s="45"/>
    </row>
    <row r="37" spans="1:36" s="3" customFormat="1" x14ac:dyDescent="0.2">
      <c r="A37" s="400" t="s">
        <v>355</v>
      </c>
      <c r="B37" s="400" t="s">
        <v>265</v>
      </c>
      <c r="C37" s="45"/>
      <c r="D37" s="45"/>
      <c r="E37" s="45"/>
      <c r="F37" s="45"/>
      <c r="G37" s="45"/>
      <c r="H37" s="45"/>
      <c r="I37" s="45"/>
      <c r="J37" s="45"/>
      <c r="K37" s="45"/>
      <c r="L37" s="45"/>
      <c r="M37" s="45"/>
      <c r="N37" s="45"/>
      <c r="O37" s="45"/>
      <c r="P37" s="45">
        <f>'RCA exp g(l)'!U41</f>
        <v>4</v>
      </c>
      <c r="Q37" s="45">
        <f>'RCA exp g(l)'!V41</f>
        <v>4</v>
      </c>
      <c r="R37" s="45">
        <f>'RCA exp g(l)'!W41</f>
        <v>4</v>
      </c>
      <c r="S37" s="45">
        <f>'RCA exp g(l)'!X41</f>
        <v>4</v>
      </c>
      <c r="T37" s="45">
        <f>'RCA exp g(l)'!Y41</f>
        <v>4</v>
      </c>
      <c r="U37" s="45">
        <f>'RCA exp g(l)'!Z41</f>
        <v>4</v>
      </c>
      <c r="V37" s="45">
        <f>'RCA exp g(l)'!AA41</f>
        <v>4</v>
      </c>
      <c r="W37" s="45">
        <f>'RCA exp g(l)'!AB41</f>
        <v>3</v>
      </c>
      <c r="X37" s="45">
        <f>'RCA exp g(l)'!AC41</f>
        <v>3</v>
      </c>
      <c r="Y37" s="45">
        <f>'RCA exp g(l)'!AD41</f>
        <v>3</v>
      </c>
      <c r="Z37" s="45">
        <f>'RCA exp g(l)'!AE41</f>
        <v>3</v>
      </c>
      <c r="AA37" s="45">
        <f>'RCA exp g(l)'!AF41</f>
        <v>3</v>
      </c>
      <c r="AB37" s="45">
        <f>'RCA exp g(l)'!AG41</f>
        <v>3</v>
      </c>
      <c r="AC37" s="45">
        <f>'RCA exp g(l)'!AH41</f>
        <v>3</v>
      </c>
      <c r="AD37" s="45">
        <f>'RCA exp g(l)'!AI41</f>
        <v>0</v>
      </c>
      <c r="AE37" s="45"/>
      <c r="AF37" s="45"/>
      <c r="AG37" s="45">
        <f t="shared" si="1"/>
        <v>41</v>
      </c>
      <c r="AH37" s="6"/>
      <c r="AI37" s="45"/>
      <c r="AJ37" s="45"/>
    </row>
    <row r="38" spans="1:36" s="3" customFormat="1" x14ac:dyDescent="0.2">
      <c r="A38" s="400" t="s">
        <v>358</v>
      </c>
      <c r="B38" s="400" t="s">
        <v>265</v>
      </c>
      <c r="C38" s="511"/>
      <c r="D38" s="45"/>
      <c r="E38" s="45"/>
      <c r="F38" s="45"/>
      <c r="G38" s="45"/>
      <c r="H38" s="45"/>
      <c r="I38" s="45"/>
      <c r="J38" s="45"/>
      <c r="K38" s="45"/>
      <c r="L38" s="45"/>
      <c r="M38" s="45"/>
      <c r="N38" s="45"/>
      <c r="O38" s="45"/>
      <c r="P38" s="45"/>
      <c r="Q38" s="45">
        <f>'RCA exp g(l)'!V42</f>
        <v>2</v>
      </c>
      <c r="R38" s="45">
        <f>'RCA exp g(l)'!W42</f>
        <v>2</v>
      </c>
      <c r="S38" s="45">
        <f>'RCA exp g(l)'!X42</f>
        <v>2</v>
      </c>
      <c r="T38" s="45">
        <f>'RCA exp g(l)'!Y42</f>
        <v>2</v>
      </c>
      <c r="U38" s="45">
        <f>'RCA exp g(l)'!Z42</f>
        <v>2</v>
      </c>
      <c r="V38" s="45">
        <f>'RCA exp g(l)'!AA42</f>
        <v>2</v>
      </c>
      <c r="W38" s="45">
        <f>'RCA exp g(l)'!AB42</f>
        <v>1</v>
      </c>
      <c r="X38" s="45">
        <f>'RCA exp g(l)'!AC42</f>
        <v>1</v>
      </c>
      <c r="Y38" s="45">
        <f>'RCA exp g(l)'!AD42</f>
        <v>1</v>
      </c>
      <c r="Z38" s="45">
        <f>'RCA exp g(l)'!AE42</f>
        <v>1</v>
      </c>
      <c r="AA38" s="45">
        <f>'RCA exp g(l)'!AF42</f>
        <v>1</v>
      </c>
      <c r="AB38" s="45">
        <f>'RCA exp g(l)'!AG42</f>
        <v>1</v>
      </c>
      <c r="AC38" s="45">
        <f>'RCA exp g(l)'!AH42</f>
        <v>1</v>
      </c>
      <c r="AD38" s="45">
        <f>'RCA exp g(l)'!AI42</f>
        <v>1</v>
      </c>
      <c r="AE38" s="45">
        <f>'RCA exp g(l)'!AJ42</f>
        <v>0</v>
      </c>
      <c r="AF38" s="45"/>
      <c r="AG38" s="45">
        <f t="shared" si="1"/>
        <v>18</v>
      </c>
      <c r="AH38" s="6"/>
      <c r="AI38" s="45"/>
      <c r="AJ38" s="45"/>
    </row>
    <row r="39" spans="1:36" s="3" customFormat="1" x14ac:dyDescent="0.2">
      <c r="A39" s="237" t="s">
        <v>363</v>
      </c>
      <c r="B39" s="237" t="s">
        <v>265</v>
      </c>
      <c r="C39" s="45"/>
      <c r="D39" s="45"/>
      <c r="E39" s="45"/>
      <c r="F39" s="45"/>
      <c r="G39" s="45"/>
      <c r="H39" s="45"/>
      <c r="I39" s="45"/>
      <c r="J39" s="45"/>
      <c r="K39" s="45"/>
      <c r="L39" s="45"/>
      <c r="M39" s="45"/>
      <c r="N39" s="45"/>
      <c r="O39" s="45"/>
      <c r="P39" s="45"/>
      <c r="Q39" s="45"/>
      <c r="R39" s="45">
        <f>'RCA exp g(l)'!W43</f>
        <v>2</v>
      </c>
      <c r="S39" s="45">
        <f>'RCA exp g(l)'!X43</f>
        <v>2</v>
      </c>
      <c r="T39" s="45">
        <f>'RCA exp g(l)'!Y43</f>
        <v>2</v>
      </c>
      <c r="U39" s="45">
        <f>'RCA exp g(l)'!Z43</f>
        <v>2</v>
      </c>
      <c r="V39" s="45">
        <f>'RCA exp g(l)'!AA43</f>
        <v>2</v>
      </c>
      <c r="W39" s="45">
        <f>'RCA exp g(l)'!AB43</f>
        <v>2</v>
      </c>
      <c r="X39" s="45">
        <f>'RCA exp g(l)'!AC43</f>
        <v>2</v>
      </c>
      <c r="Y39" s="45">
        <f>'RCA exp g(l)'!AD43</f>
        <v>1</v>
      </c>
      <c r="Z39" s="45">
        <f>'RCA exp g(l)'!AE43</f>
        <v>1</v>
      </c>
      <c r="AA39" s="45">
        <f>'RCA exp g(l)'!AF43</f>
        <v>1</v>
      </c>
      <c r="AB39" s="45">
        <f>'RCA exp g(l)'!AG43</f>
        <v>1</v>
      </c>
      <c r="AC39" s="45">
        <f>'RCA exp g(l)'!AH43</f>
        <v>1</v>
      </c>
      <c r="AD39" s="45">
        <f>'RCA exp g(l)'!AI43</f>
        <v>1</v>
      </c>
      <c r="AE39" s="45">
        <f>'RCA exp g(l)'!AJ43</f>
        <v>1</v>
      </c>
      <c r="AF39" s="45">
        <f>'RCA exp g(l)'!AK43</f>
        <v>1</v>
      </c>
      <c r="AG39" s="45">
        <f t="shared" si="1"/>
        <v>22</v>
      </c>
      <c r="AH39" s="6"/>
      <c r="AI39" s="45"/>
      <c r="AJ39" s="45"/>
    </row>
    <row r="40" spans="1:36" s="25" customFormat="1" x14ac:dyDescent="0.2">
      <c r="A40" s="25" t="s">
        <v>130</v>
      </c>
      <c r="C40" s="26">
        <f t="shared" ref="C40:M40" si="2">SUM(C20:C36)</f>
        <v>16</v>
      </c>
      <c r="D40" s="26">
        <f t="shared" si="2"/>
        <v>10</v>
      </c>
      <c r="E40" s="26">
        <f t="shared" si="2"/>
        <v>36</v>
      </c>
      <c r="F40" s="26">
        <f t="shared" si="2"/>
        <v>36</v>
      </c>
      <c r="G40" s="26">
        <f t="shared" si="2"/>
        <v>37</v>
      </c>
      <c r="H40" s="26">
        <f t="shared" si="2"/>
        <v>39</v>
      </c>
      <c r="I40" s="26">
        <f t="shared" si="2"/>
        <v>38</v>
      </c>
      <c r="J40" s="26">
        <f t="shared" si="2"/>
        <v>35</v>
      </c>
      <c r="K40" s="26">
        <f t="shared" si="2"/>
        <v>36</v>
      </c>
      <c r="L40" s="26">
        <f t="shared" si="2"/>
        <v>22</v>
      </c>
      <c r="M40" s="26">
        <f t="shared" si="2"/>
        <v>16</v>
      </c>
      <c r="N40" s="26">
        <f>SUM(N20:N37)</f>
        <v>16</v>
      </c>
      <c r="O40" s="26">
        <f t="shared" ref="O40" si="3">SUM(O20:O37)</f>
        <v>14</v>
      </c>
      <c r="P40" s="26">
        <f>SUM(P20:P38)</f>
        <v>16</v>
      </c>
      <c r="Q40" s="26">
        <f t="shared" ref="Q40" si="4">SUM(Q20:Q38)</f>
        <v>24</v>
      </c>
      <c r="R40" s="26">
        <f>SUM(R20:R39)</f>
        <v>0</v>
      </c>
      <c r="S40" s="26">
        <f t="shared" ref="S40:AF40" si="5">SUM(S20:S39)</f>
        <v>2</v>
      </c>
      <c r="T40" s="26">
        <f t="shared" si="5"/>
        <v>1</v>
      </c>
      <c r="U40" s="26">
        <f t="shared" si="5"/>
        <v>-1</v>
      </c>
      <c r="V40" s="26">
        <f t="shared" si="5"/>
        <v>-1</v>
      </c>
      <c r="W40" s="26">
        <f t="shared" si="5"/>
        <v>0</v>
      </c>
      <c r="X40" s="26">
        <f t="shared" si="5"/>
        <v>2</v>
      </c>
      <c r="Y40" s="26">
        <f t="shared" si="5"/>
        <v>-6</v>
      </c>
      <c r="Z40" s="26">
        <f t="shared" si="5"/>
        <v>1</v>
      </c>
      <c r="AA40" s="26">
        <f t="shared" si="5"/>
        <v>7</v>
      </c>
      <c r="AB40" s="26">
        <f t="shared" si="5"/>
        <v>6</v>
      </c>
      <c r="AC40" s="26">
        <f t="shared" si="5"/>
        <v>5</v>
      </c>
      <c r="AD40" s="26">
        <f t="shared" si="5"/>
        <v>2</v>
      </c>
      <c r="AE40" s="26">
        <f t="shared" si="5"/>
        <v>1</v>
      </c>
      <c r="AF40" s="26">
        <f t="shared" si="5"/>
        <v>1</v>
      </c>
      <c r="AG40" s="21">
        <f>SUM(AG20:AG39)</f>
        <v>20</v>
      </c>
      <c r="AH40" s="36">
        <f>SUM(AH20:AH25)</f>
        <v>0</v>
      </c>
    </row>
    <row r="41" spans="1:36" s="3" customFormat="1" x14ac:dyDescent="0.2"/>
    <row r="42" spans="1:36" s="3" customFormat="1" x14ac:dyDescent="0.2"/>
    <row r="43" spans="1:36" s="3" customFormat="1" x14ac:dyDescent="0.2"/>
    <row r="44" spans="1:36" s="3" customFormat="1" x14ac:dyDescent="0.2"/>
    <row r="45" spans="1:36" s="3" customFormat="1" x14ac:dyDescent="0.2"/>
    <row r="46" spans="1:36" s="3" customFormat="1" x14ac:dyDescent="0.2"/>
    <row r="47" spans="1:36" s="3" customFormat="1" x14ac:dyDescent="0.2"/>
    <row r="48" spans="1:36"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sheetData>
  <phoneticPr fontId="0" type="noConversion"/>
  <pageMargins left="0.5" right="0.5" top="1" bottom="1" header="0.5" footer="0.5"/>
  <pageSetup paperSize="5" scale="46" orientation="landscape" r:id="rId1"/>
  <headerFooter alignWithMargins="0">
    <oddFooter>&amp;L&amp;"Arial,Bold"&amp;F&amp;C&amp;A&amp;R&amp;D  &amp;T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21</vt:i4>
      </vt:variant>
      <vt:variant>
        <vt:lpstr>Plages nommées</vt:lpstr>
      </vt:variant>
      <vt:variant>
        <vt:i4>15</vt:i4>
      </vt:variant>
    </vt:vector>
  </HeadingPairs>
  <TitlesOfParts>
    <vt:vector size="36" baseType="lpstr">
      <vt:lpstr>excess surplus</vt:lpstr>
      <vt:lpstr>Data Input</vt:lpstr>
      <vt:lpstr>RCA data</vt:lpstr>
      <vt:lpstr>Interest</vt:lpstr>
      <vt:lpstr>RCA interest</vt:lpstr>
      <vt:lpstr>experience g(l)</vt:lpstr>
      <vt:lpstr>RCA exp g(l)</vt:lpstr>
      <vt:lpstr>amendment</vt:lpstr>
      <vt:lpstr>RCA amend</vt:lpstr>
      <vt:lpstr>initial ufl</vt:lpstr>
      <vt:lpstr>contributions</vt:lpstr>
      <vt:lpstr>year end</vt:lpstr>
      <vt:lpstr>CPI Special Payments</vt:lpstr>
      <vt:lpstr>expense</vt:lpstr>
      <vt:lpstr>RCA exp</vt:lpstr>
      <vt:lpstr>liability</vt:lpstr>
      <vt:lpstr>RCA liab</vt:lpstr>
      <vt:lpstr>Summary</vt:lpstr>
      <vt:lpstr>OTTP PA Variance</vt:lpstr>
      <vt:lpstr>Smoothing</vt:lpstr>
      <vt:lpstr>Gain avai. for smoothing 2015</vt:lpstr>
      <vt:lpstr>'experience g(l)'!Impression_des_titres</vt:lpstr>
      <vt:lpstr>contributions!Zone_d_impression</vt:lpstr>
      <vt:lpstr>'CPI Special Payments'!Zone_d_impression</vt:lpstr>
      <vt:lpstr>'Data Input'!Zone_d_impression</vt:lpstr>
      <vt:lpstr>expense!Zone_d_impression</vt:lpstr>
      <vt:lpstr>'experience g(l)'!Zone_d_impression</vt:lpstr>
      <vt:lpstr>Interest!Zone_d_impression</vt:lpstr>
      <vt:lpstr>liability!Zone_d_impression</vt:lpstr>
      <vt:lpstr>'RCA data'!Zone_d_impression</vt:lpstr>
      <vt:lpstr>'RCA exp'!Zone_d_impression</vt:lpstr>
      <vt:lpstr>'RCA interest'!Zone_d_impression</vt:lpstr>
      <vt:lpstr>'RCA liab'!Zone_d_impression</vt:lpstr>
      <vt:lpstr>Smoothing!Zone_d_impression</vt:lpstr>
      <vt:lpstr>Summary!Zone_d_impression</vt:lpstr>
      <vt:lpstr>'year end'!Zone_d_impression</vt:lpstr>
    </vt:vector>
  </TitlesOfParts>
  <Company>Ministry of Finance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Teachers' Pension Plan Calculation File</dc:title>
  <dc:creator>Pauline Fong</dc:creator>
  <cp:lastModifiedBy>Martin Raymond</cp:lastModifiedBy>
  <cp:lastPrinted>2016-03-31T19:40:26Z</cp:lastPrinted>
  <dcterms:created xsi:type="dcterms:W3CDTF">2002-07-26T18:47:24Z</dcterms:created>
  <dcterms:modified xsi:type="dcterms:W3CDTF">2016-09-23T04:17:49Z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