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Notes'!$A$1:$F$124</definedName>
    <definedName name="_xlnm.Print_Area" localSheetId="2">Remeasurement!$A$1:$C$36</definedName>
  </definedNames>
  <calcPr calcId="145621"/>
</workbook>
</file>

<file path=xl/calcChain.xml><?xml version="1.0" encoding="utf-8"?>
<calcChain xmlns="http://schemas.openxmlformats.org/spreadsheetml/2006/main">
  <c r="F120" i="7" l="1"/>
  <c r="B124" i="7"/>
  <c r="D37" i="5" l="1"/>
  <c r="H20" i="3" l="1"/>
  <c r="D18" i="5" l="1"/>
  <c r="D11" i="5"/>
  <c r="E117" i="7"/>
  <c r="B118" i="7" l="1"/>
  <c r="B116" i="7"/>
  <c r="D22" i="8"/>
  <c r="D21" i="8"/>
  <c r="G15" i="8"/>
  <c r="D32" i="5"/>
  <c r="C32" i="7" l="1"/>
  <c r="K28" i="3" l="1"/>
  <c r="K27" i="3"/>
  <c r="D14" i="5" l="1"/>
  <c r="H33" i="3" l="1"/>
  <c r="C17" i="4" l="1"/>
  <c r="C26" i="4" l="1"/>
  <c r="B66" i="7"/>
  <c r="B143" i="7" l="1"/>
  <c r="C22" i="4" l="1"/>
  <c r="E37" i="5" l="1"/>
  <c r="F121" i="7"/>
  <c r="B121" i="7"/>
  <c r="F119" i="7"/>
  <c r="F118" i="7"/>
  <c r="F117" i="7"/>
  <c r="F116" i="7"/>
  <c r="E123" i="7"/>
  <c r="E124" i="7" s="1"/>
  <c r="C123" i="7"/>
  <c r="D123" i="7" l="1"/>
  <c r="F123" i="7"/>
  <c r="B123" i="7"/>
  <c r="E38" i="5" l="1"/>
  <c r="B77" i="7"/>
  <c r="H38" i="3" l="1"/>
  <c r="H42" i="3"/>
  <c r="H24" i="3"/>
  <c r="H23" i="3"/>
  <c r="H22" i="3"/>
  <c r="H21" i="3"/>
  <c r="K21" i="3" s="1"/>
  <c r="D13" i="8"/>
  <c r="D28" i="8"/>
  <c r="B91" i="7"/>
  <c r="B90" i="7"/>
  <c r="B84" i="7"/>
  <c r="B83" i="7"/>
  <c r="D13" i="4"/>
  <c r="I11" i="3"/>
  <c r="C16" i="8"/>
  <c r="E33" i="8"/>
  <c r="D33" i="8"/>
  <c r="C32" i="8"/>
  <c r="C33" i="8" s="1"/>
  <c r="E28" i="8"/>
  <c r="C28" i="8"/>
  <c r="E23" i="8"/>
  <c r="D23" i="8"/>
  <c r="C23" i="8"/>
  <c r="E14" i="8"/>
  <c r="E16" i="8" s="1"/>
  <c r="D14" i="8"/>
  <c r="C14" i="8"/>
  <c r="C18" i="8" l="1"/>
  <c r="D16" i="8"/>
  <c r="D18" i="8" s="1"/>
  <c r="D35" i="8" s="1"/>
  <c r="B75" i="7"/>
  <c r="E18" i="8"/>
  <c r="E35" i="8" s="1"/>
  <c r="E39" i="8" s="1"/>
  <c r="C35" i="8"/>
  <c r="B17" i="4"/>
  <c r="D39" i="8" l="1"/>
  <c r="C39" i="8"/>
  <c r="B13" i="4"/>
  <c r="C13" i="4"/>
  <c r="H11" i="3"/>
  <c r="C85" i="7"/>
  <c r="B85" i="7"/>
  <c r="B64"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C24" i="4" s="1"/>
  <c r="C28" i="4" s="1"/>
  <c r="D15" i="5" l="1"/>
  <c r="D24" i="5" l="1"/>
  <c r="D25" i="5" s="1"/>
  <c r="D27" i="5" s="1"/>
  <c r="C29" i="4" l="1"/>
  <c r="F27" i="5"/>
  <c r="C92" i="7"/>
  <c r="C78" i="7"/>
  <c r="C37" i="7" l="1"/>
  <c r="C45" i="7" l="1"/>
  <c r="B45" i="7"/>
  <c r="B32" i="7" s="1"/>
  <c r="B37" i="7" s="1"/>
  <c r="H43" i="3" l="1"/>
  <c r="C53" i="7" l="1"/>
  <c r="B53" i="7" l="1"/>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O33" i="3" l="1"/>
  <c r="C67" i="7" l="1"/>
  <c r="P39" i="3"/>
  <c r="H39" i="3"/>
  <c r="P38" i="3"/>
  <c r="P32" i="3"/>
  <c r="P31" i="3"/>
  <c r="P30" i="3"/>
  <c r="P29" i="3"/>
  <c r="H29" i="3"/>
  <c r="P28" i="3"/>
  <c r="P27" i="3"/>
  <c r="H25" i="3"/>
  <c r="P22" i="3"/>
  <c r="P21" i="3"/>
  <c r="P20" i="3"/>
  <c r="P19" i="3"/>
  <c r="H18" i="3"/>
  <c r="B20" i="4"/>
  <c r="B25" i="2"/>
  <c r="B27" i="2" s="1"/>
  <c r="O23" i="3"/>
  <c r="N23" i="3"/>
  <c r="P23" i="3" l="1"/>
  <c r="D36" i="5"/>
  <c r="D38" i="5" s="1"/>
  <c r="N40" i="3"/>
  <c r="P40" i="3" s="1"/>
  <c r="O35" i="3"/>
  <c r="N35" i="3"/>
  <c r="N33" i="3"/>
  <c r="P33" i="3" s="1"/>
  <c r="B92" i="7"/>
  <c r="B65" i="7" s="1"/>
  <c r="B78" i="7"/>
  <c r="B63" i="7" s="1"/>
  <c r="N44" i="3" l="1"/>
  <c r="P44" i="3" s="1"/>
  <c r="P35" i="3"/>
  <c r="B67" i="7"/>
  <c r="B24" i="4" l="1"/>
  <c r="B28" i="4" s="1"/>
  <c r="H12" i="3"/>
  <c r="H30" i="3" l="1"/>
  <c r="H45" i="3" s="1"/>
  <c r="K45" i="3" s="1"/>
  <c r="N43" i="3"/>
  <c r="P43" i="3" s="1"/>
  <c r="H48" i="3" l="1"/>
  <c r="H49" i="3" s="1"/>
  <c r="N45" i="3"/>
  <c r="P45" i="3" s="1"/>
</calcChain>
</file>

<file path=xl/sharedStrings.xml><?xml version="1.0" encoding="utf-8"?>
<sst xmlns="http://schemas.openxmlformats.org/spreadsheetml/2006/main" count="319" uniqueCount="204">
  <si>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</si>
  <si>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</si>
  <si>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</si>
  <si>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</si>
  <si>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</si>
  <si>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</si>
  <si>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</si>
  <si>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</si>
  <si>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</si>
  <si>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</si>
  <si>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</si>
  <si>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</si>
  <si>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</si>
  <si>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</si>
  <si>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</si>
  <si>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</si>
  <si>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</si>
  <si>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</si>
  <si>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</si>
  <si>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</si>
  <si>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</si>
  <si>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</si>
  <si>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</si>
  <si>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</si>
  <si>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</si>
  <si>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</si>
  <si>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</si>
  <si>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</si>
  <si>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</si>
  <si>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</si>
  <si>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</si>
  <si>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</si>
  <si>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</si>
  <si>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</si>
  <si>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</si>
  <si>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</si>
  <si>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</si>
  <si>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</si>
  <si>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</si>
  <si>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</si>
  <si>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</si>
  <si>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</si>
  <si>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</si>
  <si>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</si>
  <si>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</si>
  <si>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</si>
  <si>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</si>
  <si>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</si>
  <si>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</si>
  <si>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</si>
  <si>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</si>
  <si>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</si>
  <si>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</si>
  <si>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</si>
  <si>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</si>
  <si>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</si>
  <si>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</si>
  <si>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</si>
  <si>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</si>
  <si>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</si>
  <si>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</si>
  <si>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</si>
  <si>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</si>
  <si>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</si>
  <si>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</si>
  <si>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</si>
  <si>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</si>
  <si>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</si>
  <si>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</si>
  <si>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</si>
  <si>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</si>
  <si>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</si>
  <si>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</si>
  <si>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</si>
  <si>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</si>
  <si>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</si>
  <si>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</si>
  <si>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</si>
  <si>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</si>
  <si>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</si>
  <si>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</si>
  <si>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</si>
  <si>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</si>
  <si>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</si>
  <si>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</si>
  <si>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</si>
  <si>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</si>
  <si>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</si>
  <si>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</si>
  <si>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</si>
  <si>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</si>
  <si>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</si>
  <si>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</si>
  <si>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</si>
  <si>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</si>
  <si>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</si>
  <si>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</si>
  <si>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</si>
  <si>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</si>
  <si>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</si>
  <si>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</si>
  <si>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</si>
  <si>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</si>
  <si>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</si>
  <si>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</si>
  <si>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</si>
  <si>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</si>
  <si>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</si>
  <si>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</si>
  <si>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</si>
  <si>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</si>
  <si>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</si>
  <si>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</si>
  <si>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</si>
  <si>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</si>
  <si>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</si>
  <si>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</si>
  <si>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</si>
  <si>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</si>
  <si>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</si>
  <si>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</si>
  <si>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 and December 31, 2016, the components of the IESO’s Accumulated Surplus were as follows:</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</si>
  <si>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</si>
  <si>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</si>
  <si>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</si>
  <si>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</si>
  <si>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</si>
  <si>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</si>
  <si>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</si>
  <si>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</si>
  <si>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</si>
  <si>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</si>
  <si>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</si>
  <si>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</si>
  <si>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</si>
  <si>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</si>
  <si>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</si>
  <si>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</si>
  <si>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</si>
  <si>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</si>
  <si>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</si>
  <si>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</si>
  <si>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</si>
  <si>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</si>
  <si>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</si>
  <si>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</si>
  <si>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</si>
  <si>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</si>
  <si>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</si>
  <si>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</si>
  <si>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</si>
  <si>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</si>
  <si>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</si>
  <si>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</si>
  <si>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</si>
  <si>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</si>
  <si>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</si>
  <si>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</si>
  <si>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</si>
  <si>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</si>
  <si>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</si>
  <si>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</si>
  <si>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</si>
  <si>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</si>
  <si>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</si>
  <si>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</si>
  <si>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</si>
  <si>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</si>
  <si>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</si>
  <si>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</si>
  <si>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</si>
  <si>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</si>
  <si>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</si>
  <si>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</si>
  <si>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</si>
  <si>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</si>
  <si>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</si>
  <si>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</si>
  <si>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</si>
  <si>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</si>
  <si>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</si>
  <si>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</si>
  <si>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</si>
  <si>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 xml:space="preserve">As at March 31,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</si>
  <si>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</si>
  <si>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</si>
  <si>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</si>
  <si>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</si>
  <si>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</si>
  <si>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</si>
  <si>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</si>
  <si>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r>
      <t>E</t>
    </r>
    <r>
      <rPr>
        <sz val="10"/>
        <rFont val="Times New Roman"/>
        <family val="1"/>
      </rPr>
      <t>xpenses by object for the quarter ended March 31, 2017 comprise of the following:</t>
    </r>
  </si>
  <si>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</si>
  <si>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</si>
  <si>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</si>
  <si>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</si>
  <si>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</si>
  <si>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</si>
  <si>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</si>
  <si>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</si>
  <si>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</si>
  <si>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</si>
  <si>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</si>
  <si>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See AP Accrual 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</si>
</sst>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FFC0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87">
    <xf numFmtId="0" fontId="0"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17" fillId="0" borderId="0"/>
    <xf numFmtId="0" fontId="6" fillId="0" borderId="0"/>
    <xf numFmtId="0" fontId="6" fillId="0" borderId="0"/>
    <xf numFmtId="0" fontId="23"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8" fillId="0" borderId="0"/>
    <xf numFmtId="0" fontId="8" fillId="0" borderId="0"/>
    <xf numFmtId="0" fontId="5" fillId="0" borderId="0"/>
    <xf numFmtId="0" fontId="36" fillId="0" borderId="0"/>
    <xf numFmtId="0" fontId="5" fillId="0" borderId="0"/>
    <xf numFmtId="0" fontId="5" fillId="0" borderId="0"/>
    <xf numFmtId="9" fontId="8" fillId="0" borderId="0" applyFont="0" applyFill="0" applyBorder="0" applyAlignment="0" applyProtection="0"/>
    <xf numFmtId="43" fontId="42" fillId="0" borderId="0" applyFont="0" applyFill="0" applyBorder="0" applyAlignment="0" applyProtection="0"/>
    <xf numFmtId="0" fontId="42" fillId="0" borderId="0"/>
    <xf numFmtId="165"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10">
    <xf numFmtId="0" fontId="0" fillId="0" borderId="0" xfId="0"/>
    <xf numFmtId="0" fontId="7" fillId="0" borderId="0" xfId="0" applyFont="1"/>
    <xf numFmtId="0" fontId="8" fillId="0" borderId="0" xfId="0" applyFont="1"/>
    <xf numFmtId="0" fontId="12" fillId="0" borderId="0" xfId="0" applyFont="1" applyBorder="1" applyAlignment="1">
      <alignment horizontal="center"/>
    </xf>
    <xf numFmtId="0" fontId="8" fillId="0" borderId="0" xfId="0" applyFont="1" applyFill="1"/>
    <xf numFmtId="0" fontId="13" fillId="0" borderId="1" xfId="0" applyFont="1" applyFill="1" applyBorder="1" applyAlignment="1">
      <alignment horizontal="left"/>
    </xf>
    <xf numFmtId="0" fontId="13" fillId="0" borderId="1" xfId="0" quotePrefix="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165" fontId="13" fillId="0" borderId="0" xfId="1" applyNumberFormat="1" applyFont="1" applyFill="1" applyBorder="1" applyAlignment="1">
      <alignment horizontal="right" wrapText="1"/>
    </xf>
    <xf numFmtId="168" fontId="14" fillId="0" borderId="0" xfId="0" applyNumberFormat="1" applyFont="1" applyFill="1" applyBorder="1" applyAlignment="1">
      <alignment horizontal="left"/>
    </xf>
    <xf numFmtId="168" fontId="8" fillId="0" borderId="0" xfId="0" applyNumberFormat="1" applyFont="1" applyFill="1" applyBorder="1"/>
    <xf numFmtId="168" fontId="8" fillId="0" borderId="0" xfId="0" quotePrefix="1" applyNumberFormat="1" applyFont="1" applyFill="1" applyBorder="1"/>
    <xf numFmtId="168" fontId="15" fillId="0" borderId="0" xfId="0" applyNumberFormat="1" applyFont="1" applyFill="1" applyBorder="1" applyAlignment="1">
      <alignment horizontal="center"/>
    </xf>
    <xf numFmtId="169" fontId="15" fillId="0" borderId="0" xfId="1" applyNumberFormat="1" applyFont="1" applyFill="1" applyBorder="1" applyAlignment="1">
      <alignment horizontal="right" wrapText="1"/>
    </xf>
    <xf numFmtId="168" fontId="14" fillId="0" borderId="0" xfId="0" applyNumberFormat="1" applyFont="1" applyFill="1" applyBorder="1"/>
    <xf numFmtId="169" fontId="14" fillId="0" borderId="0" xfId="1" applyNumberFormat="1" applyFont="1" applyFill="1" applyBorder="1"/>
    <xf numFmtId="169" fontId="14" fillId="0" borderId="0" xfId="0" applyNumberFormat="1" applyFont="1" applyFill="1" applyBorder="1"/>
    <xf numFmtId="168" fontId="14" fillId="0" borderId="3" xfId="0" applyNumberFormat="1" applyFont="1" applyFill="1" applyBorder="1"/>
    <xf numFmtId="0" fontId="16" fillId="0" borderId="0" xfId="0" applyFont="1" applyFill="1" applyBorder="1" applyAlignment="1"/>
    <xf numFmtId="167" fontId="8" fillId="0" borderId="0" xfId="0" applyNumberFormat="1" applyFont="1" applyFill="1" applyBorder="1" applyAlignment="1"/>
    <xf numFmtId="165" fontId="8" fillId="0" borderId="0" xfId="1" applyNumberFormat="1" applyFont="1" applyFill="1" applyBorder="1" applyAlignment="1"/>
    <xf numFmtId="167" fontId="8" fillId="0" borderId="0" xfId="1" applyNumberFormat="1" applyFont="1" applyFill="1"/>
    <xf numFmtId="168" fontId="8" fillId="0" borderId="1" xfId="0" applyNumberFormat="1" applyFont="1" applyFill="1" applyBorder="1"/>
    <xf numFmtId="167" fontId="15" fillId="0" borderId="0"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6" fontId="9"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xf numFmtId="0" fontId="8" fillId="0" borderId="0" xfId="0" applyFont="1" applyFill="1" applyBorder="1"/>
    <xf numFmtId="0" fontId="18" fillId="0" borderId="0" xfId="0" applyFont="1"/>
    <xf numFmtId="165" fontId="13" fillId="0" borderId="0" xfId="1" applyNumberFormat="1" applyFont="1" applyFill="1" applyBorder="1" applyAlignment="1">
      <alignment horizontal="center" wrapText="1"/>
    </xf>
    <xf numFmtId="165" fontId="15" fillId="0" borderId="0" xfId="1" applyNumberFormat="1" applyFont="1" applyFill="1" applyBorder="1" applyAlignment="1">
      <alignment horizontal="right" wrapText="1"/>
    </xf>
    <xf numFmtId="0" fontId="10" fillId="0" borderId="0" xfId="0" applyFont="1" applyFill="1" applyBorder="1"/>
    <xf numFmtId="167" fontId="14" fillId="0" borderId="0" xfId="0" applyNumberFormat="1" applyFont="1" applyFill="1" applyBorder="1"/>
    <xf numFmtId="167" fontId="14" fillId="0" borderId="1" xfId="1" applyNumberFormat="1" applyFont="1" applyFill="1" applyBorder="1" applyAlignment="1">
      <alignment horizontal="right" wrapText="1"/>
    </xf>
    <xf numFmtId="0" fontId="15" fillId="0" borderId="0" xfId="0" applyFont="1"/>
    <xf numFmtId="167" fontId="8" fillId="0" borderId="0" xfId="0" applyNumberFormat="1" applyFont="1" applyFill="1" applyBorder="1"/>
    <xf numFmtId="170" fontId="15" fillId="0" borderId="0" xfId="1" applyNumberFormat="1" applyFont="1" applyFill="1" applyBorder="1" applyAlignment="1">
      <alignment horizontal="right" wrapText="1"/>
    </xf>
    <xf numFmtId="167" fontId="8" fillId="0" borderId="0" xfId="1" applyNumberFormat="1" applyFont="1" applyFill="1" applyBorder="1"/>
    <xf numFmtId="166" fontId="14" fillId="0" borderId="2" xfId="1" applyNumberFormat="1" applyFont="1" applyFill="1" applyBorder="1" applyAlignment="1"/>
    <xf numFmtId="167" fontId="14" fillId="0" borderId="2" xfId="1" applyNumberFormat="1" applyFont="1" applyFill="1" applyBorder="1"/>
    <xf numFmtId="167" fontId="15" fillId="0" borderId="0" xfId="1" applyNumberFormat="1" applyFont="1" applyFill="1" applyBorder="1"/>
    <xf numFmtId="167" fontId="8" fillId="0" borderId="0" xfId="1" applyNumberFormat="1" applyFont="1"/>
    <xf numFmtId="166" fontId="14" fillId="0" borderId="0" xfId="1" applyNumberFormat="1" applyFont="1" applyFill="1" applyBorder="1" applyAlignment="1"/>
    <xf numFmtId="167" fontId="14" fillId="0" borderId="2" xfId="0" applyNumberFormat="1" applyFont="1" applyFill="1" applyBorder="1"/>
    <xf numFmtId="167" fontId="15" fillId="0" borderId="0" xfId="0" applyNumberFormat="1" applyFont="1" applyFill="1" applyBorder="1"/>
    <xf numFmtId="167" fontId="14" fillId="0" borderId="3" xfId="0" applyNumberFormat="1" applyFont="1" applyFill="1" applyBorder="1"/>
    <xf numFmtId="167" fontId="14" fillId="0" borderId="3" xfId="1" applyNumberFormat="1" applyFont="1" applyFill="1" applyBorder="1"/>
    <xf numFmtId="0" fontId="8" fillId="0" borderId="0" xfId="0" applyFont="1" applyAlignment="1">
      <alignment horizontal="right"/>
    </xf>
    <xf numFmtId="164" fontId="8" fillId="0" borderId="0" xfId="0" applyNumberFormat="1" applyFont="1" applyFill="1"/>
    <xf numFmtId="164" fontId="8" fillId="0" borderId="0" xfId="0" applyNumberFormat="1" applyFont="1"/>
    <xf numFmtId="0" fontId="8" fillId="0" borderId="0" xfId="0" quotePrefix="1" applyFont="1" applyAlignment="1">
      <alignment horizontal="right"/>
    </xf>
    <xf numFmtId="170" fontId="8" fillId="0" borderId="0" xfId="1" applyNumberFormat="1" applyFont="1" applyFill="1"/>
    <xf numFmtId="43" fontId="8" fillId="0" borderId="0" xfId="0" applyNumberFormat="1" applyFont="1"/>
    <xf numFmtId="167" fontId="8" fillId="0" borderId="0" xfId="1" quotePrefix="1" applyNumberFormat="1" applyFont="1" applyFill="1" applyBorder="1" applyAlignment="1">
      <alignment horizontal="right" wrapText="1"/>
    </xf>
    <xf numFmtId="167" fontId="8" fillId="0" borderId="0" xfId="1" applyNumberFormat="1" applyFont="1" applyFill="1" applyBorder="1" applyAlignment="1">
      <alignment horizontal="center"/>
    </xf>
    <xf numFmtId="167" fontId="8" fillId="0" borderId="0" xfId="1" applyNumberFormat="1" applyFont="1" applyFill="1" applyBorder="1" applyAlignment="1"/>
    <xf numFmtId="0" fontId="19" fillId="0" borderId="0" xfId="0" quotePrefix="1" applyFont="1" applyFill="1" applyBorder="1" applyAlignment="1"/>
    <xf numFmtId="0" fontId="19" fillId="0" borderId="0" xfId="0" applyFont="1" applyFill="1" applyBorder="1" applyAlignment="1"/>
    <xf numFmtId="0" fontId="20" fillId="0" borderId="1" xfId="0" quotePrefix="1" applyFont="1" applyFill="1" applyBorder="1" applyAlignment="1"/>
    <xf numFmtId="166" fontId="13" fillId="0" borderId="1" xfId="1" quotePrefix="1" applyNumberFormat="1" applyFont="1" applyFill="1" applyBorder="1" applyAlignment="1">
      <alignment horizontal="right" wrapText="1"/>
    </xf>
    <xf numFmtId="0" fontId="20" fillId="0" borderId="0" xfId="0" applyFont="1" applyFill="1" applyBorder="1" applyAlignment="1"/>
    <xf numFmtId="0" fontId="21" fillId="0" borderId="0" xfId="0" applyFont="1" applyFill="1" applyBorder="1" applyAlignment="1">
      <alignment horizontal="center"/>
    </xf>
    <xf numFmtId="166" fontId="15" fillId="0" borderId="0" xfId="1" quotePrefix="1" applyNumberFormat="1" applyFont="1" applyFill="1" applyBorder="1" applyAlignment="1">
      <alignment horizontal="right" wrapText="1"/>
    </xf>
    <xf numFmtId="0" fontId="22" fillId="0" borderId="0" xfId="0" quotePrefix="1" applyFont="1" applyFill="1" applyBorder="1" applyAlignment="1"/>
    <xf numFmtId="0" fontId="14" fillId="0" borderId="0" xfId="0" quotePrefix="1" applyFont="1" applyFill="1" applyBorder="1" applyAlignment="1">
      <alignment horizontal="left"/>
    </xf>
    <xf numFmtId="0" fontId="14" fillId="0" borderId="0" xfId="0" applyFont="1" applyFill="1" applyBorder="1" applyAlignment="1">
      <alignment horizontal="left"/>
    </xf>
    <xf numFmtId="0" fontId="22" fillId="0" borderId="0" xfId="0" applyFont="1" applyFill="1" applyBorder="1" applyAlignment="1"/>
    <xf numFmtId="0" fontId="23" fillId="0" borderId="0" xfId="0" quotePrefix="1" applyFont="1" applyFill="1" applyBorder="1" applyAlignment="1"/>
    <xf numFmtId="166" fontId="8" fillId="0" borderId="0" xfId="1" quotePrefix="1" applyNumberFormat="1" applyFont="1" applyFill="1" applyBorder="1" applyAlignment="1"/>
    <xf numFmtId="0" fontId="23" fillId="0" borderId="0" xfId="0" applyFont="1" applyFill="1" applyBorder="1" applyAlignment="1"/>
    <xf numFmtId="166" fontId="15" fillId="0" borderId="0" xfId="1" quotePrefix="1" applyNumberFormat="1" applyFont="1" applyFill="1" applyBorder="1" applyAlignment="1"/>
    <xf numFmtId="166" fontId="14" fillId="0" borderId="2" xfId="1" quotePrefix="1" applyNumberFormat="1" applyFont="1" applyFill="1" applyBorder="1" applyAlignment="1"/>
    <xf numFmtId="167" fontId="14" fillId="0" borderId="2" xfId="1" applyNumberFormat="1" applyFont="1" applyFill="1" applyBorder="1" applyAlignment="1">
      <alignment horizontal="center"/>
    </xf>
    <xf numFmtId="0" fontId="14" fillId="0" borderId="0" xfId="0" applyFont="1" applyFill="1" applyBorder="1" applyAlignment="1"/>
    <xf numFmtId="166" fontId="14" fillId="0" borderId="0" xfId="1" quotePrefix="1" applyNumberFormat="1" applyFont="1" applyFill="1" applyBorder="1" applyAlignment="1"/>
    <xf numFmtId="166" fontId="8" fillId="0" borderId="0" xfId="1" applyNumberFormat="1" applyFont="1" applyFill="1" applyBorder="1" applyAlignment="1"/>
    <xf numFmtId="166" fontId="15" fillId="0" borderId="0" xfId="1" applyNumberFormat="1" applyFont="1" applyFill="1" applyBorder="1" applyAlignment="1"/>
    <xf numFmtId="167" fontId="14" fillId="0" borderId="0"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8" fillId="0" borderId="0" xfId="0" applyFont="1" applyFill="1" applyBorder="1" applyAlignment="1"/>
    <xf numFmtId="165" fontId="25" fillId="0" borderId="0" xfId="1" applyNumberFormat="1" applyFont="1" applyFill="1" applyBorder="1" applyAlignment="1">
      <alignment horizontal="center" wrapText="1"/>
    </xf>
    <xf numFmtId="0" fontId="13" fillId="0" borderId="1" xfId="0" applyFont="1" applyFill="1" applyBorder="1" applyAlignment="1">
      <alignment horizontal="right"/>
    </xf>
    <xf numFmtId="164" fontId="8" fillId="0" borderId="0" xfId="0" applyNumberFormat="1" applyFont="1" applyFill="1" applyBorder="1"/>
    <xf numFmtId="0" fontId="15" fillId="0" borderId="3" xfId="0" applyFont="1" applyBorder="1"/>
    <xf numFmtId="164" fontId="14" fillId="0" borderId="0" xfId="0" applyNumberFormat="1" applyFont="1" applyFill="1" applyBorder="1"/>
    <xf numFmtId="0" fontId="14" fillId="0" borderId="3" xfId="0" applyFont="1" applyBorder="1"/>
    <xf numFmtId="167" fontId="8" fillId="0" borderId="0" xfId="1" applyNumberFormat="1" applyBorder="1"/>
    <xf numFmtId="164" fontId="0" fillId="0" borderId="0" xfId="1" applyNumberFormat="1" applyFont="1"/>
    <xf numFmtId="165" fontId="8" fillId="0" borderId="0" xfId="1" applyFont="1" applyFill="1"/>
    <xf numFmtId="165" fontId="8" fillId="0" borderId="0" xfId="1" applyFont="1"/>
    <xf numFmtId="166" fontId="9" fillId="0" borderId="0" xfId="1" applyNumberFormat="1" applyFont="1" applyFill="1" applyAlignment="1">
      <alignment horizontal="center"/>
    </xf>
    <xf numFmtId="0" fontId="20" fillId="0" borderId="0" xfId="0" applyFont="1"/>
    <xf numFmtId="0" fontId="23" fillId="0" borderId="0" xfId="0" applyFont="1"/>
    <xf numFmtId="0" fontId="23" fillId="0" borderId="0" xfId="0" quotePrefix="1" applyFont="1"/>
    <xf numFmtId="167" fontId="23" fillId="0" borderId="0" xfId="1" applyNumberFormat="1" applyFont="1" applyFill="1"/>
    <xf numFmtId="0" fontId="7" fillId="0" borderId="0" xfId="0" applyFont="1" applyFill="1" applyBorder="1"/>
    <xf numFmtId="171" fontId="20" fillId="0" borderId="0" xfId="0" applyNumberFormat="1" applyFont="1" applyFill="1" applyBorder="1"/>
    <xf numFmtId="0" fontId="26" fillId="0" borderId="0" xfId="0" applyFont="1" applyFill="1" applyBorder="1"/>
    <xf numFmtId="0" fontId="7" fillId="0" borderId="0" xfId="0" quotePrefix="1" applyFont="1" applyFill="1" applyBorder="1"/>
    <xf numFmtId="0" fontId="14" fillId="0" borderId="0" xfId="0" quotePrefix="1" applyFont="1" applyFill="1" applyBorder="1"/>
    <xf numFmtId="171" fontId="22" fillId="0" borderId="0" xfId="0" applyNumberFormat="1" applyFont="1" applyFill="1" applyBorder="1"/>
    <xf numFmtId="167" fontId="22" fillId="0" borderId="0" xfId="1" applyNumberFormat="1" applyFont="1" applyFill="1" applyBorder="1"/>
    <xf numFmtId="0" fontId="14" fillId="0" borderId="0" xfId="0" applyFont="1" applyFill="1" applyBorder="1"/>
    <xf numFmtId="0" fontId="8" fillId="0" borderId="0" xfId="0" quotePrefix="1" applyFont="1" applyFill="1" applyBorder="1"/>
    <xf numFmtId="0" fontId="10" fillId="0" borderId="0" xfId="0" quotePrefix="1" applyFont="1" applyFill="1" applyBorder="1"/>
    <xf numFmtId="0" fontId="23" fillId="0" borderId="0" xfId="0" applyFont="1" applyFill="1"/>
    <xf numFmtId="0" fontId="23" fillId="0" borderId="2" xfId="0" applyFont="1" applyFill="1" applyBorder="1"/>
    <xf numFmtId="0" fontId="8" fillId="0" borderId="2" xfId="0" quotePrefix="1" applyFont="1" applyFill="1" applyBorder="1"/>
    <xf numFmtId="0" fontId="8" fillId="0" borderId="2" xfId="0" applyFont="1" applyFill="1" applyBorder="1"/>
    <xf numFmtId="167" fontId="8" fillId="0" borderId="2" xfId="1" applyNumberFormat="1" applyFont="1" applyFill="1" applyBorder="1"/>
    <xf numFmtId="170" fontId="8" fillId="0" borderId="0" xfId="1" applyNumberFormat="1" applyFont="1" applyFill="1" applyBorder="1"/>
    <xf numFmtId="0" fontId="27" fillId="0" borderId="0" xfId="0" applyFont="1" applyFill="1" applyBorder="1"/>
    <xf numFmtId="0" fontId="27" fillId="0" borderId="0" xfId="0" quotePrefix="1" applyFont="1" applyFill="1" applyBorder="1"/>
    <xf numFmtId="172" fontId="8" fillId="0" borderId="0" xfId="1" applyNumberFormat="1" applyFont="1" applyFill="1" applyBorder="1"/>
    <xf numFmtId="0" fontId="8" fillId="0" borderId="0" xfId="0" quotePrefix="1" applyFont="1"/>
    <xf numFmtId="0" fontId="14" fillId="0" borderId="2" xfId="0" quotePrefix="1" applyFont="1" applyFill="1" applyBorder="1"/>
    <xf numFmtId="0" fontId="10" fillId="0" borderId="2" xfId="0" applyFont="1" applyFill="1" applyBorder="1"/>
    <xf numFmtId="0" fontId="22" fillId="0" borderId="0" xfId="0" applyFont="1" applyFill="1" applyBorder="1"/>
    <xf numFmtId="0" fontId="15" fillId="0" borderId="0" xfId="0" applyFont="1" applyFill="1" applyBorder="1"/>
    <xf numFmtId="0" fontId="14" fillId="0" borderId="2" xfId="0" applyFont="1" applyFill="1" applyBorder="1"/>
    <xf numFmtId="171" fontId="10" fillId="0" borderId="0" xfId="0" applyNumberFormat="1" applyFont="1" applyFill="1" applyBorder="1"/>
    <xf numFmtId="0" fontId="14" fillId="0" borderId="3" xfId="0" applyFont="1" applyFill="1" applyBorder="1"/>
    <xf numFmtId="0" fontId="10" fillId="0" borderId="3" xfId="0" applyFont="1" applyFill="1" applyBorder="1"/>
    <xf numFmtId="171" fontId="10" fillId="0" borderId="3" xfId="0" applyNumberFormat="1" applyFont="1" applyFill="1" applyBorder="1"/>
    <xf numFmtId="0" fontId="20" fillId="0" borderId="0" xfId="0" applyFont="1" applyFill="1" applyBorder="1"/>
    <xf numFmtId="171" fontId="20" fillId="0" borderId="0" xfId="0" applyNumberFormat="1" applyFont="1"/>
    <xf numFmtId="170" fontId="20" fillId="0" borderId="0" xfId="1" applyNumberFormat="1" applyFont="1" applyFill="1"/>
    <xf numFmtId="167" fontId="20" fillId="0" borderId="0" xfId="1" applyNumberFormat="1" applyFont="1" applyFill="1"/>
    <xf numFmtId="0" fontId="0" fillId="0" borderId="0" xfId="0" applyFill="1"/>
    <xf numFmtId="0" fontId="7" fillId="0" borderId="0" xfId="0" applyFont="1" applyFill="1"/>
    <xf numFmtId="167" fontId="10" fillId="0" borderId="0" xfId="1" applyNumberFormat="1" applyFont="1" applyFill="1"/>
    <xf numFmtId="165" fontId="8" fillId="0" borderId="0" xfId="1" applyNumberFormat="1" applyFont="1" applyFill="1"/>
    <xf numFmtId="166" fontId="24" fillId="0" borderId="0" xfId="1" applyNumberFormat="1" applyFont="1" applyFill="1" applyBorder="1" applyAlignment="1"/>
    <xf numFmtId="166" fontId="9" fillId="0" borderId="0" xfId="1" quotePrefix="1" applyNumberFormat="1" applyFont="1" applyAlignment="1">
      <alignment horizontal="center"/>
    </xf>
    <xf numFmtId="166" fontId="9" fillId="0" borderId="0" xfId="1" applyNumberFormat="1" applyFont="1" applyAlignment="1">
      <alignment horizontal="center"/>
    </xf>
    <xf numFmtId="167" fontId="14" fillId="0" borderId="0" xfId="1" applyNumberFormat="1" applyFont="1" applyFill="1" applyBorder="1"/>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applyNumberFormat="1" applyFont="1" applyFill="1" applyBorder="1" applyAlignment="1">
      <alignment wrapText="1"/>
    </xf>
    <xf numFmtId="0" fontId="28" fillId="0" borderId="0" xfId="2" applyFont="1" applyAlignment="1">
      <alignment vertical="center"/>
    </xf>
    <xf numFmtId="0" fontId="8" fillId="0" borderId="0" xfId="2"/>
    <xf numFmtId="0" fontId="23" fillId="0" borderId="0" xfId="2" applyFont="1" applyAlignment="1">
      <alignment vertical="center"/>
    </xf>
    <xf numFmtId="0" fontId="29" fillId="0" borderId="0" xfId="2" applyFont="1" applyAlignment="1">
      <alignment horizontal="left" vertical="center" indent="2"/>
    </xf>
    <xf numFmtId="0" fontId="23"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8" fillId="0" borderId="0" xfId="2" applyNumberFormat="1"/>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0" fontId="23" fillId="0" borderId="0" xfId="2" applyFont="1" applyAlignment="1">
      <alignment horizontal="justify" vertical="center"/>
    </xf>
    <xf numFmtId="0" fontId="23"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9" fillId="0" borderId="0" xfId="1" applyNumberFormat="1" applyFont="1" applyBorder="1" applyAlignment="1"/>
    <xf numFmtId="166" fontId="9" fillId="0" borderId="0" xfId="1" quotePrefix="1" applyNumberFormat="1" applyFont="1" applyAlignment="1"/>
    <xf numFmtId="167" fontId="23" fillId="0" borderId="0" xfId="0" applyNumberFormat="1" applyFont="1" applyFill="1" applyBorder="1" applyAlignment="1"/>
    <xf numFmtId="167" fontId="0" fillId="0" borderId="0" xfId="0" applyNumberFormat="1"/>
    <xf numFmtId="166" fontId="9" fillId="0" borderId="0" xfId="1" applyNumberFormat="1" applyFont="1" applyFill="1" applyBorder="1" applyAlignment="1">
      <alignment horizontal="center"/>
    </xf>
    <xf numFmtId="0" fontId="35" fillId="0" borderId="0" xfId="0" applyFont="1" applyFill="1" applyBorder="1" applyAlignment="1"/>
    <xf numFmtId="0" fontId="8" fillId="0" borderId="0" xfId="0" quotePrefix="1" applyFont="1" applyFill="1"/>
    <xf numFmtId="165" fontId="8" fillId="0" borderId="0" xfId="1" quotePrefix="1" applyFont="1" applyFill="1"/>
    <xf numFmtId="168" fontId="14" fillId="0" borderId="2" xfId="0" applyNumberFormat="1" applyFont="1" applyFill="1" applyBorder="1" applyAlignment="1">
      <alignment horizontal="left"/>
    </xf>
    <xf numFmtId="167" fontId="14" fillId="0" borderId="1" xfId="0" applyNumberFormat="1" applyFont="1" applyFill="1" applyBorder="1"/>
    <xf numFmtId="0" fontId="13" fillId="0" borderId="1" xfId="2" quotePrefix="1" applyFont="1" applyFill="1" applyBorder="1" applyAlignment="1">
      <alignment horizontal="left"/>
    </xf>
    <xf numFmtId="0" fontId="18" fillId="0" borderId="1" xfId="2" applyFont="1" applyFill="1" applyBorder="1" applyAlignment="1">
      <alignment horizontal="left"/>
    </xf>
    <xf numFmtId="0" fontId="13" fillId="0" borderId="0" xfId="0" quotePrefix="1" applyFont="1" applyFill="1" applyBorder="1" applyAlignment="1">
      <alignment horizontal="left"/>
    </xf>
    <xf numFmtId="0" fontId="20" fillId="0" borderId="0" xfId="0" quotePrefix="1" applyFont="1" applyFill="1" applyBorder="1" applyAlignment="1"/>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0" fontId="20" fillId="0" borderId="1" xfId="0" applyFont="1" applyFill="1" applyBorder="1" applyAlignment="1"/>
    <xf numFmtId="0" fontId="8" fillId="0" borderId="1" xfId="0" applyFont="1" applyFill="1" applyBorder="1"/>
    <xf numFmtId="0" fontId="0" fillId="0" borderId="1" xfId="0" applyBorder="1"/>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8" fillId="0" borderId="0" xfId="2" applyFill="1"/>
    <xf numFmtId="0" fontId="23" fillId="0" borderId="0" xfId="2" applyFont="1" applyFill="1" applyAlignment="1">
      <alignment vertical="center"/>
    </xf>
    <xf numFmtId="0" fontId="23" fillId="0" borderId="0" xfId="2" applyFont="1" applyFill="1" applyAlignment="1">
      <alignment horizontal="left" vertical="center" wrapText="1"/>
    </xf>
    <xf numFmtId="167" fontId="0" fillId="3" borderId="0" xfId="0" applyNumberFormat="1" applyFill="1"/>
    <xf numFmtId="0" fontId="43" fillId="0" borderId="0" xfId="0" applyFont="1"/>
    <xf numFmtId="167" fontId="8" fillId="0" borderId="0" xfId="0" applyNumberFormat="1" applyFont="1"/>
    <xf numFmtId="167" fontId="14" fillId="0" borderId="3" xfId="1" applyNumberFormat="1" applyFont="1" applyFill="1" applyBorder="1" applyAlignment="1">
      <alignment horizontal="center"/>
    </xf>
    <xf numFmtId="168" fontId="8" fillId="0" borderId="0" xfId="2" applyNumberFormat="1"/>
    <xf numFmtId="0" fontId="32" fillId="2" borderId="2" xfId="2" quotePrefix="1" applyFont="1" applyFill="1" applyBorder="1" applyAlignment="1">
      <alignment vertical="center" wrapText="1"/>
    </xf>
    <xf numFmtId="168" fontId="14" fillId="0" borderId="3" xfId="1" applyNumberFormat="1" applyFont="1" applyFill="1" applyBorder="1"/>
    <xf numFmtId="0" fontId="43" fillId="0" borderId="0" xfId="2" applyFo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8" fillId="0" borderId="0" xfId="1" applyNumberFormat="1" applyFont="1" applyFill="1" applyBorder="1"/>
    <xf numFmtId="0" fontId="15" fillId="0" borderId="0" xfId="2" applyFont="1"/>
    <xf numFmtId="168" fontId="8" fillId="0" borderId="0" xfId="2" applyNumberFormat="1" applyFill="1"/>
    <xf numFmtId="0" fontId="32" fillId="0" borderId="0" xfId="2" applyFont="1"/>
    <xf numFmtId="0" fontId="31" fillId="0" borderId="0" xfId="2" applyFont="1"/>
    <xf numFmtId="168" fontId="31" fillId="0" borderId="0" xfId="2" applyNumberFormat="1" applyFont="1" applyFill="1"/>
    <xf numFmtId="0" fontId="31" fillId="0" borderId="0" xfId="2" applyFont="1" applyFill="1"/>
    <xf numFmtId="165" fontId="31" fillId="0" borderId="0" xfId="2" applyNumberFormat="1" applyFont="1" applyFill="1"/>
    <xf numFmtId="0" fontId="23"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8" fontId="8" fillId="0" borderId="2" xfId="0" quotePrefix="1" applyNumberFormat="1" applyFont="1" applyFill="1" applyBorder="1"/>
    <xf numFmtId="167" fontId="8" fillId="0" borderId="0" xfId="1" applyNumberFormat="1" applyFont="1" applyFill="1"/>
    <xf numFmtId="168" fontId="8" fillId="0" borderId="0" xfId="0" applyNumberFormat="1" applyFont="1" applyFill="1"/>
    <xf numFmtId="167" fontId="22" fillId="0" borderId="0" xfId="0" applyNumberFormat="1" applyFont="1" applyFill="1" applyBorder="1" applyAlignment="1"/>
    <xf numFmtId="166" fontId="10" fillId="0" borderId="0" xfId="1" quotePrefix="1" applyNumberFormat="1" applyFont="1" applyFill="1" applyBorder="1" applyAlignment="1"/>
    <xf numFmtId="0" fontId="13" fillId="0" borderId="1" xfId="0" quotePrefix="1" applyFont="1" applyFill="1" applyBorder="1" applyAlignment="1">
      <alignment horizontal="right"/>
    </xf>
    <xf numFmtId="0" fontId="13" fillId="0" borderId="0" xfId="0" applyFont="1" applyFill="1" applyBorder="1" applyAlignment="1">
      <alignment horizontal="right"/>
    </xf>
    <xf numFmtId="168" fontId="15" fillId="0" borderId="0" xfId="1" applyNumberFormat="1" applyFont="1" applyFill="1" applyBorder="1" applyAlignment="1">
      <alignment horizontal="right" wrapText="1"/>
    </xf>
    <xf numFmtId="168" fontId="14" fillId="0" borderId="0" xfId="1" applyNumberFormat="1" applyFont="1" applyFill="1" applyBorder="1"/>
    <xf numFmtId="167" fontId="15" fillId="0" borderId="0" xfId="1" applyNumberFormat="1" applyFont="1" applyFill="1" applyBorder="1" applyAlignment="1">
      <alignment horizontal="right" wrapText="1"/>
    </xf>
    <xf numFmtId="165" fontId="15" fillId="0" borderId="0" xfId="1" applyNumberFormat="1" applyFont="1" applyFill="1" applyBorder="1" applyAlignment="1">
      <alignment horizontal="right" wrapText="1"/>
    </xf>
    <xf numFmtId="167" fontId="8" fillId="0" borderId="0" xfId="0" applyNumberFormat="1" applyFont="1" applyFill="1" applyBorder="1"/>
    <xf numFmtId="167" fontId="8" fillId="0" borderId="0" xfId="1" applyNumberFormat="1" applyFont="1" applyFill="1" applyBorder="1"/>
    <xf numFmtId="167" fontId="8" fillId="0" borderId="0" xfId="1" applyNumberFormat="1" applyFont="1" applyFill="1" applyBorder="1" applyAlignment="1">
      <alignment horizontal="center"/>
    </xf>
    <xf numFmtId="167" fontId="8" fillId="0" borderId="0" xfId="1" applyNumberFormat="1" applyFont="1" applyFill="1" applyBorder="1" applyAlignment="1"/>
    <xf numFmtId="166" fontId="13" fillId="0" borderId="1" xfId="1" quotePrefix="1" applyNumberFormat="1" applyFont="1" applyFill="1" applyBorder="1" applyAlignment="1">
      <alignment horizontal="right" wrapText="1"/>
    </xf>
    <xf numFmtId="166" fontId="15" fillId="0" borderId="0" xfId="1" quotePrefix="1" applyNumberFormat="1" applyFont="1" applyFill="1" applyBorder="1" applyAlignment="1">
      <alignment horizontal="right" wrapText="1"/>
    </xf>
    <xf numFmtId="0" fontId="14" fillId="0" borderId="0" xfId="0" applyFont="1" applyFill="1" applyBorder="1" applyAlignment="1">
      <alignment horizontal="left"/>
    </xf>
    <xf numFmtId="166" fontId="8" fillId="0" borderId="0" xfId="1" quotePrefix="1" applyNumberFormat="1" applyFont="1" applyFill="1" applyBorder="1" applyAlignment="1"/>
    <xf numFmtId="167" fontId="14" fillId="0" borderId="2"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13" fillId="0" borderId="1" xfId="0" applyFont="1" applyFill="1" applyBorder="1" applyAlignment="1">
      <alignment horizontal="right"/>
    </xf>
    <xf numFmtId="167" fontId="22" fillId="0" borderId="0" xfId="1" applyNumberFormat="1" applyFont="1" applyFill="1" applyBorder="1"/>
    <xf numFmtId="170" fontId="8" fillId="0" borderId="0" xfId="1" applyNumberFormat="1" applyFont="1" applyFill="1" applyBorder="1"/>
    <xf numFmtId="172" fontId="8" fillId="0" borderId="0" xfId="1" applyNumberFormat="1" applyFont="1" applyFill="1" applyBorder="1"/>
    <xf numFmtId="172" fontId="22" fillId="0" borderId="0" xfId="1" applyNumberFormat="1" applyFont="1" applyFill="1" applyBorder="1"/>
    <xf numFmtId="167" fontId="14" fillId="0" borderId="0" xfId="1" applyNumberFormat="1" applyFont="1" applyFill="1" applyBorder="1"/>
    <xf numFmtId="167" fontId="14" fillId="0" borderId="2" xfId="1" applyNumberFormat="1" applyFont="1" applyFill="1" applyBorder="1" applyAlignment="1">
      <alignment horizontal="right" wrapText="1"/>
    </xf>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167" fontId="15" fillId="0" borderId="2" xfId="1" quotePrefix="1" applyNumberFormat="1" applyFont="1" applyFill="1" applyBorder="1"/>
    <xf numFmtId="168" fontId="14" fillId="3" borderId="2" xfId="0" quotePrefix="1" applyNumberFormat="1" applyFont="1" applyFill="1" applyBorder="1"/>
    <xf numFmtId="167" fontId="8" fillId="3" borderId="0" xfId="1" applyNumberFormat="1" applyFont="1" applyFill="1" applyBorder="1"/>
    <xf numFmtId="167" fontId="8" fillId="3" borderId="0" xfId="1" applyNumberFormat="1" applyFont="1" applyFill="1" applyBorder="1" applyAlignment="1">
      <alignment horizontal="center" wrapText="1"/>
    </xf>
    <xf numFmtId="168" fontId="31" fillId="3" borderId="0" xfId="2" applyNumberFormat="1" applyFont="1" applyFill="1"/>
    <xf numFmtId="165" fontId="31" fillId="3" borderId="0" xfId="2" applyNumberFormat="1" applyFont="1" applyFill="1"/>
    <xf numFmtId="0" fontId="32" fillId="0" borderId="0" xfId="2" applyFont="1" applyFill="1" applyBorder="1" applyAlignment="1">
      <alignment vertical="center"/>
    </xf>
    <xf numFmtId="168" fontId="32" fillId="0" borderId="0" xfId="2" applyNumberFormat="1" applyFont="1" applyFill="1" applyBorder="1" applyAlignment="1">
      <alignment horizontal="right" vertical="center"/>
    </xf>
    <xf numFmtId="167" fontId="8" fillId="3" borderId="0" xfId="1" applyNumberFormat="1" applyFont="1" applyFill="1"/>
    <xf numFmtId="167" fontId="10" fillId="4" borderId="0" xfId="1" applyNumberFormat="1" applyFont="1" applyFill="1" applyBorder="1" applyAlignment="1">
      <alignment horizontal="right" wrapText="1"/>
    </xf>
    <xf numFmtId="167" fontId="8" fillId="4" borderId="0" xfId="1" applyNumberFormat="1" applyFont="1" applyFill="1" applyBorder="1"/>
    <xf numFmtId="166" fontId="9" fillId="0" borderId="0" xfId="1" applyNumberFormat="1" applyFont="1" applyFill="1" applyBorder="1" applyAlignment="1">
      <alignment horizontal="center"/>
    </xf>
    <xf numFmtId="168" fontId="8" fillId="4" borderId="0" xfId="0" applyNumberFormat="1" applyFont="1" applyFill="1" applyBorder="1"/>
    <xf numFmtId="168" fontId="14" fillId="4" borderId="2" xfId="0" applyNumberFormat="1" applyFont="1" applyFill="1" applyBorder="1"/>
    <xf numFmtId="167" fontId="8" fillId="0" borderId="0" xfId="0" applyNumberFormat="1" applyFont="1" applyFill="1"/>
    <xf numFmtId="167" fontId="8" fillId="0" borderId="0" xfId="2" applyNumberFormat="1"/>
    <xf numFmtId="0" fontId="8" fillId="0" borderId="1" xfId="2" applyBorder="1" applyAlignment="1">
      <alignment horizontal="center"/>
    </xf>
    <xf numFmtId="3" fontId="32" fillId="2" borderId="2" xfId="2" applyNumberFormat="1" applyFont="1" applyFill="1" applyBorder="1" applyAlignment="1">
      <alignment horizontal="right" vertical="center"/>
    </xf>
    <xf numFmtId="0" fontId="23" fillId="3" borderId="0" xfId="2" applyFont="1" applyFill="1" applyAlignment="1">
      <alignment horizontal="left" vertical="top" wrapText="1"/>
    </xf>
    <xf numFmtId="167" fontId="10" fillId="3" borderId="0" xfId="1" applyNumberFormat="1" applyFont="1" applyFill="1" applyBorder="1" applyAlignment="1">
      <alignment horizontal="right" wrapText="1"/>
    </xf>
    <xf numFmtId="167" fontId="10" fillId="3" borderId="2" xfId="1" applyNumberFormat="1" applyFont="1" applyFill="1" applyBorder="1" applyAlignment="1">
      <alignment horizontal="right" wrapText="1"/>
    </xf>
    <xf numFmtId="167" fontId="8" fillId="0" borderId="0" xfId="1" quotePrefix="1" applyNumberFormat="1" applyFont="1" applyFill="1" applyBorder="1"/>
    <xf numFmtId="168" fontId="14" fillId="0" borderId="2" xfId="0" applyNumberFormat="1" applyFont="1" applyFill="1" applyBorder="1"/>
    <xf numFmtId="168" fontId="14" fillId="0" borderId="2" xfId="0" quotePrefix="1" applyNumberFormat="1" applyFont="1" applyFill="1" applyBorder="1"/>
    <xf numFmtId="168" fontId="14" fillId="0" borderId="4" xfId="1" applyNumberFormat="1" applyFont="1" applyFill="1" applyBorder="1" applyAlignment="1">
      <alignment horizontal="right" wrapText="1"/>
    </xf>
    <xf numFmtId="167" fontId="8" fillId="0" borderId="0" xfId="1" applyNumberFormat="1" applyFont="1" applyFill="1" applyBorder="1" applyAlignment="1">
      <alignment horizontal="center" wrapText="1"/>
    </xf>
    <xf numFmtId="167" fontId="15" fillId="0" borderId="3" xfId="1" applyNumberFormat="1" applyFont="1" applyFill="1" applyBorder="1" applyAlignment="1">
      <alignment horizontal="right" wrapText="1"/>
    </xf>
    <xf numFmtId="167" fontId="8" fillId="0" borderId="2" xfId="1" applyNumberFormat="1" applyFont="1" applyFill="1" applyBorder="1" applyAlignment="1">
      <alignment horizontal="center"/>
    </xf>
    <xf numFmtId="49" fontId="23" fillId="0" borderId="0" xfId="2" applyNumberFormat="1" applyFont="1" applyFill="1" applyAlignment="1">
      <alignment vertical="center"/>
    </xf>
    <xf numFmtId="167" fontId="32" fillId="3" borderId="2" xfId="1" applyNumberFormat="1" applyFont="1" applyFill="1" applyBorder="1" applyAlignment="1">
      <alignment horizontal="right" vertical="center"/>
    </xf>
    <xf numFmtId="49" fontId="31" fillId="0" borderId="1" xfId="2" applyNumberFormat="1" applyFont="1" applyFill="1" applyBorder="1" applyAlignment="1">
      <alignment horizontal="right" vertical="center" wrapText="1"/>
    </xf>
    <xf numFmtId="167" fontId="31" fillId="0" borderId="0" xfId="2" applyNumberFormat="1" applyFont="1" applyFill="1"/>
    <xf numFmtId="167" fontId="32" fillId="0" borderId="2" xfId="1" applyNumberFormat="1" applyFont="1" applyFill="1" applyBorder="1" applyAlignment="1">
      <alignment horizontal="right" vertical="center"/>
    </xf>
    <xf numFmtId="168" fontId="31" fillId="0" borderId="0" xfId="2" applyNumberFormat="1" applyFont="1" applyFill="1" applyBorder="1" applyAlignment="1">
      <alignment horizontal="right" vertical="center"/>
    </xf>
    <xf numFmtId="168" fontId="32" fillId="0" borderId="2" xfId="2" applyNumberFormat="1" applyFont="1" applyFill="1" applyBorder="1" applyAlignment="1">
      <alignment horizontal="right" vertical="center"/>
    </xf>
    <xf numFmtId="49" fontId="8" fillId="0" borderId="0" xfId="2" applyNumberFormat="1" applyFill="1"/>
    <xf numFmtId="167" fontId="31" fillId="0" borderId="0" xfId="1"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8" fillId="4" borderId="0" xfId="2" applyFill="1"/>
    <xf numFmtId="0" fontId="8" fillId="4" borderId="2" xfId="2" applyFill="1" applyBorder="1"/>
    <xf numFmtId="3" fontId="8" fillId="0" borderId="0" xfId="2" applyNumberFormat="1"/>
    <xf numFmtId="167" fontId="8" fillId="0" borderId="0" xfId="1" applyNumberFormat="1" applyFill="1"/>
    <xf numFmtId="166" fontId="9"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9" fillId="0" borderId="0" xfId="1" applyNumberFormat="1" applyFont="1" applyFill="1" applyBorder="1" applyAlignment="1">
      <alignment horizontal="center"/>
    </xf>
    <xf numFmtId="166" fontId="9" fillId="0" borderId="0" xfId="1" applyNumberFormat="1" applyFont="1" applyBorder="1" applyAlignment="1">
      <alignment horizontal="center"/>
    </xf>
    <xf numFmtId="0" fontId="13" fillId="0" borderId="0" xfId="2" quotePrefix="1" applyFont="1" applyFill="1" applyBorder="1" applyAlignment="1">
      <alignment horizontal="left"/>
    </xf>
    <xf numFmtId="0" fontId="18" fillId="0" borderId="0" xfId="2" applyFont="1" applyFill="1" applyBorder="1" applyAlignment="1">
      <alignment horizontal="left"/>
    </xf>
    <xf numFmtId="166" fontId="9" fillId="0" borderId="0" xfId="1" quotePrefix="1" applyNumberFormat="1" applyFont="1" applyAlignment="1">
      <alignment horizontal="center"/>
    </xf>
    <xf numFmtId="0" fontId="23" fillId="0" borderId="0" xfId="2" applyFont="1" applyFill="1" applyAlignment="1">
      <alignment horizontal="left" vertical="center" wrapText="1"/>
    </xf>
    <xf numFmtId="0" fontId="23" fillId="0" borderId="0" xfId="2" applyFont="1" applyFill="1" applyAlignment="1">
      <alignment horizontal="left" vertical="top" wrapText="1"/>
    </xf>
    <xf numFmtId="0" fontId="23" fillId="0" borderId="0" xfId="2" applyFont="1" applyAlignment="1">
      <alignment horizontal="left" vertical="center"/>
    </xf>
    <xf numFmtId="0" fontId="23" fillId="3" borderId="0" xfId="2" applyFont="1" applyFill="1" applyAlignment="1">
      <alignment horizontal="left" vertical="top" wrapText="1"/>
    </xf>
  </cellXfs>
  <cellStyles count="387">
    <cellStyle name="Comma" xfId="1" builtinId="3"/>
    <cellStyle name="Comma 10" xfId="30"/>
    <cellStyle name="Comma 11" xfId="32"/>
    <cellStyle name="Comma 11 2" xfId="33"/>
    <cellStyle name="Comma 11 2 2" xfId="333"/>
    <cellStyle name="Comma 11 2 3" xfId="93"/>
    <cellStyle name="Comma 11 2 4" xfId="383"/>
    <cellStyle name="Comma 11 3" xfId="332"/>
    <cellStyle name="Comma 11 4" xfId="92"/>
    <cellStyle name="Comma 11 5" xfId="38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1" xfId="360"/>
    <cellStyle name="Comma 3 2" xfId="38"/>
    <cellStyle name="Comma 3 3" xfId="39"/>
    <cellStyle name="Comma 3 4" xfId="40"/>
    <cellStyle name="Comma 3 5" xfId="58"/>
    <cellStyle name="Comma 3 6" xfId="19"/>
    <cellStyle name="Comma 3 6 2" xfId="321"/>
    <cellStyle name="Comma 3 6 3" xfId="100"/>
    <cellStyle name="Comma 3 6 4" xfId="371"/>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2 4" xfId="375"/>
    <cellStyle name="Comma 4 3" xfId="60"/>
    <cellStyle name="Comma 4 3 2" xfId="101"/>
    <cellStyle name="Comma 4 4" xfId="71"/>
    <cellStyle name="Comma 4 4 2" xfId="310"/>
    <cellStyle name="Comma 4 5" xfId="339"/>
    <cellStyle name="Comma 4 6" xfId="350"/>
    <cellStyle name="Comma 4 7" xfId="85"/>
    <cellStyle name="Comma 4 8" xfId="361"/>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12" xfId="362"/>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2 8" xfId="378"/>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12" xfId="363"/>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2 8" xfId="381"/>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12" xfId="364"/>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2 8" xfId="380"/>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2 4" xfId="376"/>
    <cellStyle name="Normal 2 2 3" xfId="64"/>
    <cellStyle name="Normal 2 2 3 2" xfId="314"/>
    <cellStyle name="Normal 2 2 4" xfId="75"/>
    <cellStyle name="Normal 2 2 4 2" xfId="343"/>
    <cellStyle name="Normal 2 2 5" xfId="354"/>
    <cellStyle name="Normal 2 2 6" xfId="86"/>
    <cellStyle name="Normal 2 2 7" xfId="365"/>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3 4" xfId="384"/>
    <cellStyle name="Normal 3 4" xfId="239"/>
    <cellStyle name="Normal 4" xfId="12"/>
    <cellStyle name="Normal 4 2" xfId="52"/>
    <cellStyle name="Normal 4 2 2" xfId="241"/>
    <cellStyle name="Normal 4 3" xfId="20"/>
    <cellStyle name="Normal 4 3 2" xfId="322"/>
    <cellStyle name="Normal 4 3 3" xfId="240"/>
    <cellStyle name="Normal 4 3 4" xfId="372"/>
    <cellStyle name="Normal 4 4" xfId="65"/>
    <cellStyle name="Normal 4 4 2" xfId="315"/>
    <cellStyle name="Normal 4 5" xfId="76"/>
    <cellStyle name="Normal 4 5 2" xfId="344"/>
    <cellStyle name="Normal 4 6" xfId="355"/>
    <cellStyle name="Normal 4 7" xfId="82"/>
    <cellStyle name="Normal 4 8" xfId="366"/>
    <cellStyle name="Normal 5" xfId="13"/>
    <cellStyle name="Normal 5 2" xfId="53"/>
    <cellStyle name="Normal 5 2 2" xfId="243"/>
    <cellStyle name="Normal 5 2 3" xfId="335"/>
    <cellStyle name="Normal 5 2 4" xfId="95"/>
    <cellStyle name="Normal 5 2 5" xfId="385"/>
    <cellStyle name="Normal 5 3" xfId="21"/>
    <cellStyle name="Normal 5 3 2" xfId="323"/>
    <cellStyle name="Normal 5 3 3" xfId="242"/>
    <cellStyle name="Normal 5 3 4" xfId="373"/>
    <cellStyle name="Normal 5 4" xfId="66"/>
    <cellStyle name="Normal 5 4 2" xfId="316"/>
    <cellStyle name="Normal 5 5" xfId="77"/>
    <cellStyle name="Normal 5 5 2" xfId="345"/>
    <cellStyle name="Normal 5 6" xfId="356"/>
    <cellStyle name="Normal 5 7" xfId="83"/>
    <cellStyle name="Normal 5 8" xfId="367"/>
    <cellStyle name="Normal 6" xfId="14"/>
    <cellStyle name="Normal 6 2" xfId="22"/>
    <cellStyle name="Normal 6 2 2" xfId="324"/>
    <cellStyle name="Normal 6 2 3" xfId="244"/>
    <cellStyle name="Normal 6 2 4" xfId="374"/>
    <cellStyle name="Normal 6 3" xfId="67"/>
    <cellStyle name="Normal 6 3 2" xfId="317"/>
    <cellStyle name="Normal 6 4" xfId="78"/>
    <cellStyle name="Normal 6 4 2" xfId="346"/>
    <cellStyle name="Normal 6 5" xfId="357"/>
    <cellStyle name="Normal 6 6" xfId="84"/>
    <cellStyle name="Normal 6 7" xfId="368"/>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12" xfId="369"/>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2 8" xfId="377"/>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12" xfId="370"/>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2 9" xfId="386"/>
    <cellStyle name="Normal 9 3" xfId="27"/>
    <cellStyle name="Normal 9 3 2" xfId="303"/>
    <cellStyle name="Normal 9 3 3" xfId="304"/>
    <cellStyle name="Normal 9 3 4" xfId="305"/>
    <cellStyle name="Normal 9 3 5" xfId="329"/>
    <cellStyle name="Normal 9 3 6" xfId="302"/>
    <cellStyle name="Normal 9 3 7" xfId="379"/>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B27" sqref="B27"/>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9" t="s">
        <v>0</v>
      </c>
      <c r="C1" s="299"/>
      <c r="D1" s="299"/>
      <c r="E1" s="299"/>
    </row>
    <row r="2" spans="1:8" ht="20.25" x14ac:dyDescent="0.3">
      <c r="A2" s="58"/>
      <c r="B2" s="299" t="s">
        <v>109</v>
      </c>
      <c r="C2" s="299"/>
      <c r="D2" s="299"/>
      <c r="E2" s="299"/>
    </row>
    <row r="3" spans="1:8" ht="19.5" x14ac:dyDescent="0.35">
      <c r="A3" s="58"/>
      <c r="B3" s="300" t="s">
        <v>157</v>
      </c>
      <c r="C3" s="300"/>
      <c r="D3" s="300"/>
      <c r="E3" s="300"/>
    </row>
    <row r="4" spans="1:8" ht="20.25" x14ac:dyDescent="0.3">
      <c r="B4" s="26"/>
      <c r="C4" s="179"/>
      <c r="D4" s="59"/>
      <c r="E4" s="59"/>
    </row>
    <row r="5" spans="1:8" ht="20.25" x14ac:dyDescent="0.3">
      <c r="B5" s="26"/>
      <c r="C5" s="179"/>
      <c r="D5" s="142"/>
      <c r="E5" s="142"/>
    </row>
    <row r="6" spans="1:8" s="62" customFormat="1" ht="15.75" x14ac:dyDescent="0.25">
      <c r="B6" s="187" t="s">
        <v>74</v>
      </c>
      <c r="C6" s="188"/>
      <c r="D6" s="255" t="s">
        <v>158</v>
      </c>
      <c r="E6" s="255" t="s">
        <v>140</v>
      </c>
    </row>
    <row r="7" spans="1:8" s="62" customFormat="1" ht="15.75" x14ac:dyDescent="0.25">
      <c r="A7" s="187"/>
      <c r="B7" s="191"/>
      <c r="C7" s="60"/>
      <c r="D7" s="61"/>
      <c r="E7" s="238"/>
    </row>
    <row r="8" spans="1:8" s="62" customFormat="1" ht="15.75" x14ac:dyDescent="0.25">
      <c r="B8" s="63"/>
      <c r="C8" s="63"/>
      <c r="D8" s="64" t="s">
        <v>3</v>
      </c>
      <c r="E8" s="239" t="s">
        <v>3</v>
      </c>
    </row>
    <row r="9" spans="1:8" s="68" customFormat="1" ht="15" x14ac:dyDescent="0.25">
      <c r="A9" s="65"/>
      <c r="B9" s="66" t="s">
        <v>17</v>
      </c>
      <c r="C9" s="66"/>
      <c r="D9" s="67"/>
      <c r="E9" s="240"/>
    </row>
    <row r="10" spans="1:8" s="71" customFormat="1" ht="12.75" x14ac:dyDescent="0.2">
      <c r="A10" s="69"/>
      <c r="B10" s="70" t="s">
        <v>149</v>
      </c>
      <c r="C10" s="70"/>
      <c r="D10" s="224">
        <v>53706</v>
      </c>
      <c r="E10" s="224">
        <f>58305+5909</f>
        <v>64214</v>
      </c>
      <c r="F10" s="177"/>
      <c r="H10" s="22"/>
    </row>
    <row r="11" spans="1:8" s="71" customFormat="1" ht="12.75" x14ac:dyDescent="0.2">
      <c r="B11" s="70" t="s">
        <v>19</v>
      </c>
      <c r="C11" s="70"/>
      <c r="D11" s="224">
        <f>68852</f>
        <v>68852</v>
      </c>
      <c r="E11" s="224">
        <f>47747+870-5909-1279</f>
        <v>41429</v>
      </c>
      <c r="F11" s="177"/>
      <c r="H11" s="22"/>
    </row>
    <row r="12" spans="1:8" s="71" customFormat="1" ht="12.75" x14ac:dyDescent="0.2">
      <c r="A12" s="72"/>
      <c r="B12" s="241" t="s">
        <v>159</v>
      </c>
      <c r="C12" s="70"/>
      <c r="D12" s="224">
        <v>38551</v>
      </c>
      <c r="E12" s="224">
        <v>39529</v>
      </c>
      <c r="F12" s="177"/>
      <c r="H12" s="22"/>
    </row>
    <row r="13" spans="1:8" s="71" customFormat="1" ht="12.75" x14ac:dyDescent="0.2">
      <c r="A13" s="72"/>
      <c r="B13" s="241" t="s">
        <v>160</v>
      </c>
      <c r="C13" s="70"/>
      <c r="D13" s="224">
        <v>45180</v>
      </c>
      <c r="E13" s="224">
        <v>45276</v>
      </c>
      <c r="F13" s="177"/>
      <c r="G13" s="177"/>
      <c r="H13" s="22"/>
    </row>
    <row r="14" spans="1:8" s="71" customFormat="1" ht="12.75" x14ac:dyDescent="0.2">
      <c r="A14" s="72"/>
      <c r="B14" s="241" t="s">
        <v>178</v>
      </c>
      <c r="C14" s="70"/>
      <c r="D14" s="265">
        <f>+E14</f>
        <v>2005167</v>
      </c>
      <c r="E14" s="224">
        <v>2005167</v>
      </c>
      <c r="F14" s="177"/>
    </row>
    <row r="15" spans="1:8" s="71" customFormat="1" ht="15" x14ac:dyDescent="0.25">
      <c r="B15" s="73" t="s">
        <v>20</v>
      </c>
      <c r="C15" s="73"/>
      <c r="D15" s="74">
        <f>SUM(D10:D14)</f>
        <v>2211456</v>
      </c>
      <c r="E15" s="242">
        <f>SUM(E10:E14)</f>
        <v>2195615</v>
      </c>
      <c r="F15" s="177"/>
    </row>
    <row r="16" spans="1:8" s="68" customFormat="1" ht="15" x14ac:dyDescent="0.25">
      <c r="A16" s="65"/>
      <c r="B16" s="75"/>
      <c r="C16" s="75"/>
      <c r="D16" s="139"/>
      <c r="E16" s="252"/>
      <c r="F16" s="177"/>
    </row>
    <row r="17" spans="1:7" s="71" customFormat="1" ht="15" x14ac:dyDescent="0.25">
      <c r="B17" s="76" t="s">
        <v>21</v>
      </c>
      <c r="C17" s="76"/>
      <c r="D17" s="140"/>
      <c r="E17" s="253"/>
      <c r="F17" s="177"/>
    </row>
    <row r="18" spans="1:7" s="71" customFormat="1" ht="12.75" x14ac:dyDescent="0.2">
      <c r="A18" s="69"/>
      <c r="B18" s="241" t="s">
        <v>180</v>
      </c>
      <c r="C18" s="70"/>
      <c r="D18" s="224">
        <f>48993-530</f>
        <v>48463</v>
      </c>
      <c r="E18" s="224">
        <f>36786+870+3-1-1279+885</f>
        <v>37264</v>
      </c>
      <c r="F18" s="177"/>
    </row>
    <row r="19" spans="1:7" s="71" customFormat="1" ht="12.75" x14ac:dyDescent="0.2">
      <c r="A19" s="69"/>
      <c r="B19" s="241" t="s">
        <v>22</v>
      </c>
      <c r="C19" s="70"/>
      <c r="D19" s="224">
        <v>530</v>
      </c>
      <c r="E19" s="224">
        <v>0</v>
      </c>
      <c r="F19" s="177"/>
    </row>
    <row r="20" spans="1:7" s="71" customFormat="1" ht="12.75" x14ac:dyDescent="0.2">
      <c r="A20" s="69"/>
      <c r="B20" s="241" t="s">
        <v>181</v>
      </c>
      <c r="C20" s="70"/>
      <c r="D20" s="224">
        <f>2307-885</f>
        <v>1422</v>
      </c>
      <c r="E20" s="224">
        <f>2307-885</f>
        <v>1422</v>
      </c>
      <c r="F20" s="177"/>
    </row>
    <row r="21" spans="1:7" s="71" customFormat="1" ht="12.75" x14ac:dyDescent="0.2">
      <c r="A21" s="69"/>
      <c r="B21" s="77" t="s">
        <v>182</v>
      </c>
      <c r="C21" s="77"/>
      <c r="D21" s="224">
        <v>120000</v>
      </c>
      <c r="E21" s="224">
        <v>120000</v>
      </c>
      <c r="F21" s="177"/>
    </row>
    <row r="22" spans="1:7" s="71" customFormat="1" ht="12.75" x14ac:dyDescent="0.2">
      <c r="A22" s="69"/>
      <c r="B22" s="241" t="s">
        <v>161</v>
      </c>
      <c r="C22" s="70"/>
      <c r="D22" s="224">
        <v>28166</v>
      </c>
      <c r="E22" s="224">
        <v>29229</v>
      </c>
      <c r="F22" s="177"/>
    </row>
    <row r="23" spans="1:7" s="71" customFormat="1" ht="12.75" x14ac:dyDescent="0.2">
      <c r="A23" s="72"/>
      <c r="B23" s="241" t="s">
        <v>162</v>
      </c>
      <c r="C23" s="70"/>
      <c r="D23" s="224">
        <v>97618</v>
      </c>
      <c r="E23" s="224">
        <v>96216</v>
      </c>
      <c r="F23" s="177"/>
    </row>
    <row r="24" spans="1:7" s="71" customFormat="1" ht="12.75" x14ac:dyDescent="0.2">
      <c r="A24" s="72"/>
      <c r="B24" s="241" t="s">
        <v>179</v>
      </c>
      <c r="C24" s="70"/>
      <c r="D24" s="265">
        <f>D14</f>
        <v>2005167</v>
      </c>
      <c r="E24" s="224">
        <f>E14</f>
        <v>2005167</v>
      </c>
      <c r="F24" s="177"/>
    </row>
    <row r="25" spans="1:7" s="71" customFormat="1" ht="15" x14ac:dyDescent="0.25">
      <c r="A25" s="78"/>
      <c r="B25" s="73" t="s">
        <v>23</v>
      </c>
      <c r="C25" s="73"/>
      <c r="D25" s="242">
        <f>SUM(D18:D24)</f>
        <v>2301366</v>
      </c>
      <c r="E25" s="242">
        <f>SUM(E18:E24)</f>
        <v>2289298</v>
      </c>
      <c r="F25" s="177"/>
    </row>
    <row r="26" spans="1:7" s="71" customFormat="1" ht="12.75" x14ac:dyDescent="0.2">
      <c r="A26" s="72"/>
      <c r="B26" s="77"/>
      <c r="C26" s="77"/>
      <c r="D26" s="236"/>
      <c r="E26" s="236"/>
      <c r="F26" s="177"/>
    </row>
    <row r="27" spans="1:7" s="71" customFormat="1" ht="15" x14ac:dyDescent="0.25">
      <c r="A27" s="72"/>
      <c r="B27" s="76" t="s">
        <v>24</v>
      </c>
      <c r="C27" s="76"/>
      <c r="D27" s="79">
        <f>D15-D25</f>
        <v>-89910</v>
      </c>
      <c r="E27" s="79">
        <f>E15-E25</f>
        <v>-93683</v>
      </c>
      <c r="F27" s="177">
        <f>+D27+89910</f>
        <v>0</v>
      </c>
    </row>
    <row r="28" spans="1:7" s="71" customFormat="1" ht="12.75" x14ac:dyDescent="0.2">
      <c r="B28" s="77"/>
      <c r="C28" s="77"/>
      <c r="D28" s="237"/>
      <c r="E28" s="237"/>
      <c r="F28" s="177"/>
      <c r="G28" s="71" t="s">
        <v>34</v>
      </c>
    </row>
    <row r="29" spans="1:7" s="71" customFormat="1" ht="15" x14ac:dyDescent="0.25">
      <c r="A29" s="72"/>
      <c r="B29" s="66" t="s">
        <v>25</v>
      </c>
      <c r="C29" s="66"/>
      <c r="D29" s="254"/>
      <c r="E29" s="254"/>
      <c r="F29" s="177"/>
    </row>
    <row r="30" spans="1:7" s="71" customFormat="1" ht="12.75" x14ac:dyDescent="0.2">
      <c r="A30" s="72"/>
      <c r="B30" s="241" t="s">
        <v>163</v>
      </c>
      <c r="C30" s="70"/>
      <c r="D30" s="224">
        <v>106182</v>
      </c>
      <c r="E30" s="224">
        <f>100795-1</f>
        <v>100794</v>
      </c>
      <c r="F30" s="177"/>
    </row>
    <row r="31" spans="1:7" s="71" customFormat="1" ht="12.75" x14ac:dyDescent="0.2">
      <c r="B31" s="70" t="s">
        <v>26</v>
      </c>
      <c r="C31" s="70"/>
      <c r="D31" s="224">
        <v>6712</v>
      </c>
      <c r="E31" s="224">
        <v>6809</v>
      </c>
      <c r="F31" s="177"/>
    </row>
    <row r="32" spans="1:7" s="71" customFormat="1" ht="15" x14ac:dyDescent="0.25">
      <c r="A32" s="69"/>
      <c r="B32" s="73" t="s">
        <v>27</v>
      </c>
      <c r="C32" s="73"/>
      <c r="D32" s="242">
        <f>SUM(D30:D31)</f>
        <v>112894</v>
      </c>
      <c r="E32" s="242">
        <f>SUM(E30:E31)</f>
        <v>107603</v>
      </c>
      <c r="F32" s="177"/>
    </row>
    <row r="33" spans="1:6" s="71" customFormat="1" ht="12.75" x14ac:dyDescent="0.2">
      <c r="B33" s="78"/>
      <c r="C33" s="78"/>
      <c r="D33" s="244"/>
      <c r="E33" s="244"/>
    </row>
    <row r="34" spans="1:6" s="71" customFormat="1" ht="15" x14ac:dyDescent="0.25">
      <c r="A34" s="69"/>
      <c r="B34" s="66" t="s">
        <v>91</v>
      </c>
      <c r="C34" s="66"/>
      <c r="D34" s="254"/>
      <c r="E34" s="254"/>
    </row>
    <row r="35" spans="1:6" s="71" customFormat="1" ht="12.75" x14ac:dyDescent="0.2">
      <c r="A35" s="69"/>
      <c r="B35" s="70" t="s">
        <v>152</v>
      </c>
      <c r="C35" s="70"/>
      <c r="D35" s="224">
        <f>+'Income Sheet'!D39</f>
        <v>12284</v>
      </c>
      <c r="E35" s="224">
        <f>3438-1-1</f>
        <v>3436</v>
      </c>
      <c r="F35" s="177"/>
    </row>
    <row r="36" spans="1:6" s="71" customFormat="1" ht="12.75" x14ac:dyDescent="0.2">
      <c r="A36" s="69"/>
      <c r="B36" s="70" t="s">
        <v>28</v>
      </c>
      <c r="C36" s="70"/>
      <c r="D36" s="224">
        <f>+Remeasurement!B27</f>
        <v>10700</v>
      </c>
      <c r="E36" s="224">
        <f>10485-1</f>
        <v>10484</v>
      </c>
    </row>
    <row r="37" spans="1:6" s="68" customFormat="1" ht="15.75" thickBot="1" x14ac:dyDescent="0.3">
      <c r="A37" s="65"/>
      <c r="B37" s="243" t="s">
        <v>91</v>
      </c>
      <c r="C37" s="80"/>
      <c r="D37" s="48">
        <f>SUM(D35:D36)</f>
        <v>22984</v>
      </c>
      <c r="E37" s="48">
        <f>SUM(E35:E36)</f>
        <v>13920</v>
      </c>
    </row>
    <row r="38" spans="1:6" s="68" customFormat="1" ht="15.75" thickTop="1" x14ac:dyDescent="0.25">
      <c r="A38" s="65"/>
      <c r="B38" s="227"/>
      <c r="C38" s="76"/>
      <c r="D38" s="250">
        <f>+D27+D32-D37</f>
        <v>0</v>
      </c>
      <c r="E38" s="250">
        <f>+E27+E32-E37</f>
        <v>0</v>
      </c>
    </row>
    <row r="39" spans="1:6" s="68" customFormat="1" ht="15" x14ac:dyDescent="0.25">
      <c r="A39" s="65"/>
      <c r="B39" s="76"/>
      <c r="C39" s="76"/>
      <c r="D39" s="138"/>
      <c r="E39" s="138"/>
    </row>
    <row r="40" spans="1:6" s="68" customFormat="1" ht="15" x14ac:dyDescent="0.25">
      <c r="A40" s="65"/>
      <c r="B40" s="227"/>
      <c r="C40" s="76"/>
      <c r="D40" s="138"/>
      <c r="E40" s="138"/>
    </row>
    <row r="41" spans="1:6" s="68" customFormat="1" ht="15" x14ac:dyDescent="0.25">
      <c r="B41" s="78"/>
      <c r="C41" s="78"/>
      <c r="D41" s="226"/>
    </row>
    <row r="42" spans="1:6" x14ac:dyDescent="0.2">
      <c r="B42" s="20"/>
      <c r="C42" s="20"/>
      <c r="D42" s="59"/>
      <c r="E42" s="59"/>
    </row>
    <row r="43" spans="1:6" x14ac:dyDescent="0.2">
      <c r="B43" s="82"/>
      <c r="C43" s="82"/>
      <c r="D43" s="59"/>
      <c r="E43" s="59"/>
    </row>
    <row r="44" spans="1:6" ht="15.75" x14ac:dyDescent="0.25">
      <c r="B44" s="135"/>
      <c r="C44" s="135"/>
      <c r="D44" s="59"/>
      <c r="E44" s="59"/>
    </row>
    <row r="47" spans="1:6" x14ac:dyDescent="0.2">
      <c r="B47" s="180"/>
      <c r="C47" s="180"/>
      <c r="E47" s="59"/>
    </row>
    <row r="48" spans="1:6"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20" zoomScalePageLayoutView="40" workbookViewId="0">
      <selection activeCell="D15" sqref="D15"/>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301" t="s">
        <v>0</v>
      </c>
      <c r="C1" s="301"/>
      <c r="D1" s="301"/>
      <c r="E1" s="301"/>
    </row>
    <row r="2" spans="2:9" s="132" customFormat="1" ht="20.25" x14ac:dyDescent="0.3">
      <c r="B2" s="301" t="s">
        <v>93</v>
      </c>
      <c r="C2" s="301"/>
      <c r="D2" s="301"/>
      <c r="E2" s="301"/>
    </row>
    <row r="3" spans="2:9" s="132" customFormat="1" ht="21" customHeight="1" x14ac:dyDescent="0.35">
      <c r="B3" s="300" t="s">
        <v>157</v>
      </c>
      <c r="C3" s="300"/>
      <c r="D3" s="300"/>
      <c r="E3" s="300"/>
    </row>
    <row r="4" spans="2:9" s="132" customFormat="1" ht="20.25" x14ac:dyDescent="0.3">
      <c r="B4" s="268"/>
      <c r="C4" s="268"/>
      <c r="D4" s="268"/>
      <c r="E4" s="268"/>
    </row>
    <row r="5" spans="2:9" ht="13.9" customHeight="1" x14ac:dyDescent="0.2">
      <c r="B5" s="27"/>
      <c r="C5" s="27"/>
      <c r="D5" s="27"/>
      <c r="E5" s="27"/>
    </row>
    <row r="6" spans="2:9" ht="13.9" customHeight="1" x14ac:dyDescent="0.2">
      <c r="B6" s="27"/>
      <c r="C6" s="27"/>
      <c r="D6" s="27"/>
      <c r="E6" s="27"/>
    </row>
    <row r="7" spans="2:9" x14ac:dyDescent="0.2">
      <c r="B7" s="7" t="s">
        <v>166</v>
      </c>
      <c r="C7" s="256">
        <v>2018</v>
      </c>
      <c r="D7" s="256">
        <v>2018</v>
      </c>
      <c r="E7" s="256">
        <v>2017</v>
      </c>
    </row>
    <row r="8" spans="2:9" x14ac:dyDescent="0.2">
      <c r="B8" s="7"/>
      <c r="C8" s="229" t="s">
        <v>1</v>
      </c>
      <c r="D8" s="229" t="s">
        <v>2</v>
      </c>
      <c r="E8" s="229" t="s">
        <v>2</v>
      </c>
    </row>
    <row r="9" spans="2:9" x14ac:dyDescent="0.2">
      <c r="B9" s="192"/>
      <c r="C9" s="228"/>
      <c r="D9" s="228"/>
      <c r="E9" s="228"/>
    </row>
    <row r="10" spans="2:9" ht="15" x14ac:dyDescent="0.25">
      <c r="B10" s="10" t="s">
        <v>75</v>
      </c>
      <c r="C10" s="230" t="s">
        <v>3</v>
      </c>
      <c r="D10" s="230" t="s">
        <v>3</v>
      </c>
      <c r="E10" s="230" t="s">
        <v>3</v>
      </c>
    </row>
    <row r="11" spans="2:9" x14ac:dyDescent="0.2">
      <c r="B11" s="11" t="s">
        <v>4</v>
      </c>
      <c r="C11" s="269"/>
      <c r="D11" s="235">
        <v>48691</v>
      </c>
      <c r="E11" s="235">
        <v>44875</v>
      </c>
      <c r="H11" s="211"/>
    </row>
    <row r="12" spans="2:9" x14ac:dyDescent="0.2">
      <c r="B12" s="11" t="s">
        <v>164</v>
      </c>
      <c r="C12" s="269"/>
      <c r="D12" s="235">
        <v>1315</v>
      </c>
      <c r="E12" s="235">
        <v>1295</v>
      </c>
    </row>
    <row r="13" spans="2:9" x14ac:dyDescent="0.2">
      <c r="B13" s="12" t="s">
        <v>5</v>
      </c>
      <c r="C13" s="269"/>
      <c r="D13" s="278">
        <f>231+153</f>
        <v>384</v>
      </c>
      <c r="E13" s="278">
        <v>203</v>
      </c>
      <c r="F13" s="271"/>
    </row>
    <row r="14" spans="2:9" ht="15" x14ac:dyDescent="0.25">
      <c r="B14" s="183" t="s">
        <v>76</v>
      </c>
      <c r="C14" s="270">
        <f>SUM(C11:C13)</f>
        <v>0</v>
      </c>
      <c r="D14" s="279">
        <f>SUM(D11:D13)</f>
        <v>50390</v>
      </c>
      <c r="E14" s="279">
        <f>SUM(E11:E13)</f>
        <v>46373</v>
      </c>
    </row>
    <row r="15" spans="2:9" ht="15" x14ac:dyDescent="0.25">
      <c r="B15" s="223" t="s">
        <v>194</v>
      </c>
      <c r="C15" s="258">
        <v>-47332</v>
      </c>
      <c r="D15" s="280">
        <v>-47193</v>
      </c>
      <c r="E15" s="280">
        <v>-45236</v>
      </c>
      <c r="F15" s="225"/>
      <c r="G15" s="225">
        <f>+D15+45685</f>
        <v>-1508</v>
      </c>
      <c r="I15" s="225"/>
    </row>
    <row r="16" spans="2:9" ht="15" x14ac:dyDescent="0.25">
      <c r="B16" s="10" t="s">
        <v>120</v>
      </c>
      <c r="C16" s="276">
        <f>C14+C15</f>
        <v>-47332</v>
      </c>
      <c r="D16" s="281">
        <f>D14+D15</f>
        <v>3197</v>
      </c>
      <c r="E16" s="281">
        <f>E14+E15</f>
        <v>1137</v>
      </c>
      <c r="F16" s="225"/>
    </row>
    <row r="17" spans="2:7" ht="14.25" x14ac:dyDescent="0.2">
      <c r="B17" s="11" t="s">
        <v>78</v>
      </c>
      <c r="C17" s="276">
        <v>0</v>
      </c>
      <c r="D17" s="278">
        <v>0</v>
      </c>
      <c r="E17" s="278">
        <v>0</v>
      </c>
    </row>
    <row r="18" spans="2:7" ht="15" x14ac:dyDescent="0.25">
      <c r="B18" s="183" t="s">
        <v>143</v>
      </c>
      <c r="C18" s="277">
        <f>SUM(C16:C17)</f>
        <v>-47332</v>
      </c>
      <c r="D18" s="257">
        <f>SUM(D16:D17)</f>
        <v>3197</v>
      </c>
      <c r="E18" s="257">
        <f>SUM(E16:E17)</f>
        <v>1137</v>
      </c>
      <c r="F18" s="271"/>
    </row>
    <row r="19" spans="2:7" x14ac:dyDescent="0.2">
      <c r="B19" s="13"/>
      <c r="C19" s="14"/>
      <c r="D19" s="232"/>
      <c r="E19" s="232"/>
    </row>
    <row r="20" spans="2:7" ht="15" x14ac:dyDescent="0.25">
      <c r="B20" s="10" t="s">
        <v>147</v>
      </c>
      <c r="C20" s="14"/>
      <c r="D20" s="232"/>
      <c r="E20" s="232"/>
    </row>
    <row r="21" spans="2:7" ht="14.25" x14ac:dyDescent="0.2">
      <c r="B21" s="11" t="s">
        <v>165</v>
      </c>
      <c r="C21" s="266"/>
      <c r="D21" s="235">
        <f>14006+13753-1508</f>
        <v>26251</v>
      </c>
      <c r="E21" s="235">
        <v>0</v>
      </c>
    </row>
    <row r="22" spans="2:7" ht="14.25" x14ac:dyDescent="0.2">
      <c r="B22" s="23" t="s">
        <v>196</v>
      </c>
      <c r="C22" s="266">
        <v>0</v>
      </c>
      <c r="D22" s="235">
        <f>-14006-13753+1508</f>
        <v>-26251</v>
      </c>
      <c r="E22" s="235">
        <v>0</v>
      </c>
    </row>
    <row r="23" spans="2:7" ht="15" x14ac:dyDescent="0.25">
      <c r="B23" s="183" t="s">
        <v>146</v>
      </c>
      <c r="C23" s="251">
        <f>C21+C22</f>
        <v>0</v>
      </c>
      <c r="D23" s="251">
        <f>D21+D22</f>
        <v>0</v>
      </c>
      <c r="E23" s="251">
        <f>E21+E22</f>
        <v>0</v>
      </c>
      <c r="G23" s="271"/>
    </row>
    <row r="24" spans="2:7" x14ac:dyDescent="0.2">
      <c r="B24" s="13"/>
      <c r="C24" s="14"/>
      <c r="D24" s="232"/>
      <c r="E24" s="232"/>
    </row>
    <row r="25" spans="2:7" ht="15" x14ac:dyDescent="0.25">
      <c r="B25" s="10" t="s">
        <v>7</v>
      </c>
      <c r="C25" s="14"/>
      <c r="D25" s="232"/>
      <c r="E25" s="232"/>
    </row>
    <row r="26" spans="2:7" x14ac:dyDescent="0.2">
      <c r="B26" s="11" t="s">
        <v>142</v>
      </c>
      <c r="C26" s="259">
        <v>8635</v>
      </c>
      <c r="D26" s="235">
        <v>11938</v>
      </c>
      <c r="E26" s="235">
        <v>6137</v>
      </c>
    </row>
    <row r="27" spans="2:7" x14ac:dyDescent="0.2">
      <c r="B27" s="23" t="s">
        <v>197</v>
      </c>
      <c r="C27" s="259">
        <v>-6985</v>
      </c>
      <c r="D27" s="235">
        <v>-6295</v>
      </c>
      <c r="E27" s="235">
        <v>-6137</v>
      </c>
    </row>
    <row r="28" spans="2:7" ht="15" x14ac:dyDescent="0.25">
      <c r="B28" s="183" t="s">
        <v>144</v>
      </c>
      <c r="C28" s="251">
        <f>C26+C27</f>
        <v>1650</v>
      </c>
      <c r="D28" s="251">
        <f>D26+D27</f>
        <v>5643</v>
      </c>
      <c r="E28" s="251">
        <f>E26+E27</f>
        <v>0</v>
      </c>
    </row>
    <row r="29" spans="2:7" x14ac:dyDescent="0.2">
      <c r="B29" s="13"/>
      <c r="C29" s="14"/>
      <c r="D29" s="232"/>
      <c r="E29" s="232"/>
    </row>
    <row r="30" spans="2:7" ht="15" x14ac:dyDescent="0.25">
      <c r="B30" s="10" t="s">
        <v>6</v>
      </c>
      <c r="C30" s="14"/>
      <c r="D30" s="232"/>
      <c r="E30" s="232"/>
    </row>
    <row r="31" spans="2:7" x14ac:dyDescent="0.2">
      <c r="B31" s="12" t="s">
        <v>141</v>
      </c>
      <c r="C31" s="267"/>
      <c r="D31" s="235">
        <v>1139</v>
      </c>
      <c r="E31" s="235">
        <v>664</v>
      </c>
    </row>
    <row r="32" spans="2:7" x14ac:dyDescent="0.2">
      <c r="B32" s="23" t="s">
        <v>198</v>
      </c>
      <c r="C32" s="267">
        <f>-71-1736</f>
        <v>-1807</v>
      </c>
      <c r="D32" s="235">
        <v>-1131</v>
      </c>
      <c r="E32" s="235">
        <v>-702</v>
      </c>
    </row>
    <row r="33" spans="1:7" ht="15" x14ac:dyDescent="0.25">
      <c r="B33" s="183" t="s">
        <v>145</v>
      </c>
      <c r="C33" s="251">
        <f>C31+C32</f>
        <v>-1807</v>
      </c>
      <c r="D33" s="251">
        <f>D31+D32</f>
        <v>8</v>
      </c>
      <c r="E33" s="251">
        <f>E31+E32</f>
        <v>-38</v>
      </c>
    </row>
    <row r="34" spans="1:7" x14ac:dyDescent="0.2">
      <c r="B34" s="13"/>
      <c r="C34" s="14"/>
      <c r="D34" s="232"/>
      <c r="E34" s="232"/>
    </row>
    <row r="35" spans="1:7" ht="15" x14ac:dyDescent="0.25">
      <c r="B35" s="15" t="s">
        <v>153</v>
      </c>
      <c r="C35" s="231">
        <f>C18+C23+C28+C33</f>
        <v>-47489</v>
      </c>
      <c r="D35" s="231">
        <f>D18+D23+D28+D33</f>
        <v>8848</v>
      </c>
      <c r="E35" s="231">
        <f>E18+E23+E28+E33</f>
        <v>1099</v>
      </c>
      <c r="F35" s="225"/>
      <c r="G35" s="225"/>
    </row>
    <row r="36" spans="1:7" ht="15" x14ac:dyDescent="0.25">
      <c r="B36" s="15"/>
      <c r="C36" s="16"/>
      <c r="D36" s="250"/>
      <c r="E36" s="250"/>
    </row>
    <row r="37" spans="1:7" x14ac:dyDescent="0.2">
      <c r="B37" s="11" t="s">
        <v>118</v>
      </c>
      <c r="C37" s="260">
        <v>3436</v>
      </c>
      <c r="D37" s="282">
        <v>3436</v>
      </c>
      <c r="E37" s="282">
        <v>6582</v>
      </c>
    </row>
    <row r="38" spans="1:7" ht="15" x14ac:dyDescent="0.25">
      <c r="B38" s="15"/>
      <c r="C38" s="17"/>
      <c r="D38" s="235"/>
      <c r="E38" s="235"/>
    </row>
    <row r="39" spans="1:7" ht="15.75" thickBot="1" x14ac:dyDescent="0.3">
      <c r="B39" s="18" t="s">
        <v>119</v>
      </c>
      <c r="C39" s="206">
        <f>SUM(C35:C37)</f>
        <v>-44053</v>
      </c>
      <c r="D39" s="206">
        <f>SUM(D35:D38)</f>
        <v>12284</v>
      </c>
      <c r="E39" s="206">
        <f>SUM(E35:E38)</f>
        <v>7681</v>
      </c>
    </row>
    <row r="40" spans="1:7" s="133" customFormat="1" ht="15" thickTop="1" x14ac:dyDescent="0.2">
      <c r="A40" s="4"/>
      <c r="B40" s="4"/>
      <c r="C40" s="4"/>
      <c r="D40" s="225"/>
      <c r="E40" s="225"/>
    </row>
    <row r="41" spans="1:7" s="133" customFormat="1" ht="16.5" x14ac:dyDescent="0.2">
      <c r="A41" s="19"/>
      <c r="B41" s="227"/>
      <c r="C41" s="21"/>
      <c r="D41" s="224"/>
      <c r="E41" s="224"/>
      <c r="F41" s="224"/>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opLeftCell="A4" zoomScaleNormal="100" zoomScaleSheetLayoutView="50" zoomScalePageLayoutView="40" workbookViewId="0">
      <selection activeCell="B16" sqref="B16"/>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02" t="s">
        <v>0</v>
      </c>
      <c r="B1" s="302"/>
      <c r="C1" s="302"/>
      <c r="D1" s="175"/>
    </row>
    <row r="2" spans="1:4" ht="20.25" x14ac:dyDescent="0.3">
      <c r="A2" s="302" t="s">
        <v>29</v>
      </c>
      <c r="B2" s="302"/>
      <c r="C2" s="302"/>
      <c r="D2" s="175"/>
    </row>
    <row r="3" spans="1:4" ht="19.5" x14ac:dyDescent="0.35">
      <c r="A3" s="300" t="s">
        <v>157</v>
      </c>
      <c r="B3" s="300"/>
      <c r="C3" s="300"/>
      <c r="D3" s="300"/>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166</v>
      </c>
      <c r="B8" s="8">
        <v>2018</v>
      </c>
      <c r="C8" s="229">
        <v>2017</v>
      </c>
      <c r="D8" s="9"/>
    </row>
    <row r="9" spans="1:4" x14ac:dyDescent="0.2">
      <c r="A9" s="7"/>
      <c r="B9" s="8" t="s">
        <v>2</v>
      </c>
      <c r="C9" s="229" t="s">
        <v>2</v>
      </c>
      <c r="D9" s="9"/>
    </row>
    <row r="10" spans="1:4" x14ac:dyDescent="0.2">
      <c r="A10" s="193"/>
      <c r="B10" s="84"/>
      <c r="C10" s="245"/>
      <c r="D10" s="9"/>
    </row>
    <row r="11" spans="1:4" x14ac:dyDescent="0.2">
      <c r="A11" s="2"/>
      <c r="B11" s="32" t="s">
        <v>3</v>
      </c>
      <c r="C11" s="233" t="s">
        <v>3</v>
      </c>
      <c r="D11" s="32"/>
    </row>
    <row r="12" spans="1:4" x14ac:dyDescent="0.2">
      <c r="A12" s="2"/>
      <c r="B12" s="32"/>
      <c r="C12" s="233"/>
      <c r="D12" s="32"/>
    </row>
    <row r="13" spans="1:4" x14ac:dyDescent="0.2">
      <c r="A13" s="46" t="s">
        <v>53</v>
      </c>
      <c r="B13" s="232">
        <v>10484</v>
      </c>
      <c r="C13" s="232">
        <v>7906</v>
      </c>
      <c r="D13" s="24"/>
    </row>
    <row r="14" spans="1:4" x14ac:dyDescent="0.2">
      <c r="A14" s="37"/>
      <c r="B14" s="232"/>
      <c r="C14" s="232"/>
      <c r="D14" s="32"/>
    </row>
    <row r="15" spans="1:4" x14ac:dyDescent="0.2">
      <c r="A15" s="46" t="s">
        <v>54</v>
      </c>
      <c r="B15" s="234"/>
      <c r="C15" s="234"/>
      <c r="D15" s="85"/>
    </row>
    <row r="16" spans="1:4" x14ac:dyDescent="0.2">
      <c r="A16" s="37" t="s">
        <v>30</v>
      </c>
      <c r="B16" s="235">
        <v>386</v>
      </c>
      <c r="C16" s="235">
        <v>0</v>
      </c>
      <c r="D16" s="85"/>
    </row>
    <row r="17" spans="1:5" x14ac:dyDescent="0.2">
      <c r="A17" s="37" t="s">
        <v>31</v>
      </c>
      <c r="B17" s="234">
        <v>538</v>
      </c>
      <c r="C17" s="234">
        <v>767</v>
      </c>
      <c r="D17" s="85"/>
    </row>
    <row r="18" spans="1:5" x14ac:dyDescent="0.2">
      <c r="A18" s="37" t="s">
        <v>167</v>
      </c>
      <c r="B18" s="234">
        <v>-231</v>
      </c>
      <c r="C18" s="234">
        <v>1333</v>
      </c>
      <c r="D18" s="85"/>
    </row>
    <row r="19" spans="1:5" x14ac:dyDescent="0.2">
      <c r="A19" s="37"/>
      <c r="B19" s="234"/>
      <c r="C19" s="234"/>
      <c r="D19" s="85"/>
    </row>
    <row r="20" spans="1:5" x14ac:dyDescent="0.2">
      <c r="A20" s="46" t="s">
        <v>32</v>
      </c>
      <c r="B20" s="234"/>
      <c r="C20" s="234"/>
      <c r="D20" s="85"/>
    </row>
    <row r="21" spans="1:5" ht="13.15" hidden="1" customHeight="1" x14ac:dyDescent="0.2">
      <c r="A21" s="37" t="s">
        <v>30</v>
      </c>
      <c r="B21" s="235">
        <v>0</v>
      </c>
      <c r="C21" s="235">
        <v>0</v>
      </c>
      <c r="D21" s="85"/>
    </row>
    <row r="22" spans="1:5" x14ac:dyDescent="0.2">
      <c r="A22" s="37" t="s">
        <v>31</v>
      </c>
      <c r="B22" s="234">
        <v>-477</v>
      </c>
      <c r="C22" s="234">
        <v>-763</v>
      </c>
      <c r="D22" s="85"/>
    </row>
    <row r="23" spans="1:5" hidden="1" x14ac:dyDescent="0.2">
      <c r="A23" s="37" t="s">
        <v>33</v>
      </c>
      <c r="B23" s="235">
        <v>0</v>
      </c>
      <c r="C23" s="235">
        <v>0</v>
      </c>
      <c r="D23" s="85"/>
    </row>
    <row r="24" spans="1:5" x14ac:dyDescent="0.2">
      <c r="A24" s="37"/>
      <c r="B24" s="234"/>
      <c r="C24" s="234"/>
      <c r="D24" s="85"/>
    </row>
    <row r="25" spans="1:5" ht="15.75" thickBot="1" x14ac:dyDescent="0.3">
      <c r="A25" s="86" t="s">
        <v>114</v>
      </c>
      <c r="B25" s="283">
        <f>SUM(B16:B24)</f>
        <v>216</v>
      </c>
      <c r="C25" s="283">
        <f>SUM(C16:C24)</f>
        <v>1337</v>
      </c>
      <c r="D25" s="87"/>
    </row>
    <row r="26" spans="1:5" ht="13.5" thickTop="1" x14ac:dyDescent="0.2">
      <c r="A26" s="37" t="s">
        <v>34</v>
      </c>
      <c r="B26" s="232"/>
      <c r="C26" s="232"/>
      <c r="D26" s="85"/>
    </row>
    <row r="27" spans="1:5" ht="15.75" thickBot="1" x14ac:dyDescent="0.3">
      <c r="A27" s="88" t="s">
        <v>35</v>
      </c>
      <c r="B27" s="283">
        <f>B13+B25</f>
        <v>10700</v>
      </c>
      <c r="C27" s="283">
        <f>C13+C25</f>
        <v>9243</v>
      </c>
      <c r="D27" s="89"/>
      <c r="E27" s="178"/>
    </row>
    <row r="28" spans="1:5" ht="13.5" thickTop="1" x14ac:dyDescent="0.2">
      <c r="A28" s="46"/>
      <c r="B28" s="85"/>
      <c r="C28" s="85"/>
      <c r="D28" s="85"/>
    </row>
    <row r="29" spans="1:5" ht="14.25" x14ac:dyDescent="0.2">
      <c r="A29" s="227"/>
      <c r="B29" s="90"/>
      <c r="C29" s="90"/>
      <c r="D29" s="90"/>
    </row>
    <row r="30" spans="1:5" x14ac:dyDescent="0.2">
      <c r="A30" s="49"/>
      <c r="B30" s="91"/>
      <c r="C30" s="92"/>
      <c r="D30" s="92"/>
    </row>
    <row r="31" spans="1:5" x14ac:dyDescent="0.2">
      <c r="A31" s="49"/>
      <c r="B31" s="182"/>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C17" sqref="C17"/>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302" t="s">
        <v>0</v>
      </c>
      <c r="B1" s="302"/>
      <c r="C1" s="302"/>
      <c r="D1" s="302"/>
    </row>
    <row r="2" spans="1:15" s="1" customFormat="1" ht="20.25" x14ac:dyDescent="0.3">
      <c r="A2" s="302" t="s">
        <v>110</v>
      </c>
      <c r="B2" s="302"/>
      <c r="C2" s="302"/>
      <c r="D2" s="302"/>
    </row>
    <row r="3" spans="1:15" s="1" customFormat="1" ht="19.5" x14ac:dyDescent="0.35">
      <c r="A3" s="300" t="s">
        <v>157</v>
      </c>
      <c r="B3" s="300"/>
      <c r="C3" s="300"/>
      <c r="D3" s="300"/>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166</v>
      </c>
      <c r="B8" s="190">
        <v>2018</v>
      </c>
      <c r="C8" s="190">
        <v>2018</v>
      </c>
      <c r="D8" s="256">
        <v>2017</v>
      </c>
    </row>
    <row r="9" spans="1:15" s="30" customFormat="1" ht="12" x14ac:dyDescent="0.2">
      <c r="A9" s="7"/>
      <c r="B9" s="8" t="s">
        <v>1</v>
      </c>
      <c r="C9" s="8" t="s">
        <v>2</v>
      </c>
      <c r="D9" s="229" t="s">
        <v>2</v>
      </c>
    </row>
    <row r="10" spans="1:15" s="30" customFormat="1" ht="12" x14ac:dyDescent="0.2">
      <c r="A10" s="5"/>
      <c r="B10" s="84"/>
      <c r="C10" s="84"/>
      <c r="D10" s="245"/>
    </row>
    <row r="11" spans="1:15" x14ac:dyDescent="0.2">
      <c r="A11" s="36"/>
      <c r="B11" s="32" t="s">
        <v>3</v>
      </c>
      <c r="C11" s="32" t="s">
        <v>3</v>
      </c>
      <c r="D11" s="233" t="s">
        <v>3</v>
      </c>
    </row>
    <row r="12" spans="1:15" ht="14.25" x14ac:dyDescent="0.2">
      <c r="A12" s="33"/>
      <c r="B12" s="32"/>
      <c r="C12" s="32"/>
      <c r="D12" s="233"/>
    </row>
    <row r="13" spans="1:15" s="36" customFormat="1" ht="15" x14ac:dyDescent="0.25">
      <c r="A13" s="184" t="s">
        <v>115</v>
      </c>
      <c r="B13" s="35">
        <f>+'Income Sheet'!C35</f>
        <v>-47489</v>
      </c>
      <c r="C13" s="35">
        <f>+'Income Sheet'!D35</f>
        <v>8848</v>
      </c>
      <c r="D13" s="35">
        <f>+'Income Sheet'!E35</f>
        <v>1099</v>
      </c>
    </row>
    <row r="14" spans="1:15" x14ac:dyDescent="0.2">
      <c r="A14" s="37"/>
      <c r="B14" s="38"/>
      <c r="C14" s="232"/>
      <c r="D14" s="232"/>
    </row>
    <row r="15" spans="1:15" ht="15" x14ac:dyDescent="0.25">
      <c r="A15" s="34" t="s">
        <v>9</v>
      </c>
      <c r="B15" s="38"/>
      <c r="C15" s="232"/>
      <c r="D15" s="232"/>
      <c r="G15" s="212"/>
    </row>
    <row r="16" spans="1:15" x14ac:dyDescent="0.2">
      <c r="A16" s="37" t="s">
        <v>10</v>
      </c>
      <c r="B16" s="259">
        <v>-4000</v>
      </c>
      <c r="C16" s="235">
        <v>-10764</v>
      </c>
      <c r="D16" s="235">
        <v>-2759</v>
      </c>
      <c r="E16" s="30"/>
      <c r="G16" s="212"/>
      <c r="I16" s="201"/>
      <c r="J16" s="201"/>
      <c r="K16" s="201"/>
      <c r="L16" s="201"/>
      <c r="M16" s="201"/>
      <c r="N16" s="201"/>
      <c r="O16" s="201"/>
    </row>
    <row r="17" spans="1:7" x14ac:dyDescent="0.2">
      <c r="A17" s="37" t="s">
        <v>11</v>
      </c>
      <c r="B17" s="259">
        <f>4433+861</f>
        <v>5294</v>
      </c>
      <c r="C17" s="235">
        <f>5376</f>
        <v>5376</v>
      </c>
      <c r="D17" s="235">
        <v>5503</v>
      </c>
      <c r="E17" s="30"/>
      <c r="F17" s="202"/>
      <c r="G17" s="212"/>
    </row>
    <row r="18" spans="1:7" x14ac:dyDescent="0.2">
      <c r="A18" s="37" t="s">
        <v>12</v>
      </c>
      <c r="B18" s="39">
        <v>0</v>
      </c>
      <c r="C18" s="235">
        <v>97</v>
      </c>
      <c r="D18" s="235">
        <v>1654</v>
      </c>
      <c r="E18" s="30"/>
      <c r="G18" s="212"/>
    </row>
    <row r="19" spans="1:7" x14ac:dyDescent="0.2">
      <c r="A19" s="37"/>
      <c r="B19" s="39"/>
      <c r="C19" s="235"/>
      <c r="D19" s="235"/>
    </row>
    <row r="20" spans="1:7" ht="15" x14ac:dyDescent="0.25">
      <c r="A20" s="40" t="s">
        <v>13</v>
      </c>
      <c r="B20" s="41">
        <f>SUM(B16:B18)</f>
        <v>1294</v>
      </c>
      <c r="C20" s="41">
        <f>SUM(C16:C19)</f>
        <v>-5291</v>
      </c>
      <c r="D20" s="41">
        <f>SUM(D16:D19)</f>
        <v>4398</v>
      </c>
    </row>
    <row r="21" spans="1:7" x14ac:dyDescent="0.2">
      <c r="A21" s="37"/>
      <c r="B21" s="39"/>
      <c r="C21" s="235"/>
      <c r="D21" s="235"/>
    </row>
    <row r="22" spans="1:7" s="36" customFormat="1" ht="15" x14ac:dyDescent="0.25">
      <c r="A22" s="44" t="s">
        <v>114</v>
      </c>
      <c r="B22" s="39">
        <v>0</v>
      </c>
      <c r="C22" s="25">
        <f>+Remeasurement!B25</f>
        <v>216</v>
      </c>
      <c r="D22" s="25">
        <v>1337</v>
      </c>
    </row>
    <row r="23" spans="1:7" x14ac:dyDescent="0.2">
      <c r="A23" s="37"/>
      <c r="B23" s="39"/>
      <c r="C23" s="235"/>
      <c r="D23" s="235"/>
    </row>
    <row r="24" spans="1:7" ht="15" x14ac:dyDescent="0.25">
      <c r="A24" s="45" t="s">
        <v>14</v>
      </c>
      <c r="B24" s="41">
        <f>B13+B20+B22</f>
        <v>-46195</v>
      </c>
      <c r="C24" s="41">
        <f>C13+C20+C22</f>
        <v>3773</v>
      </c>
      <c r="D24" s="41">
        <f>D13+D20+D22</f>
        <v>6834</v>
      </c>
    </row>
    <row r="25" spans="1:7" x14ac:dyDescent="0.2">
      <c r="A25" s="37"/>
      <c r="B25" s="39"/>
      <c r="C25" s="235"/>
      <c r="D25" s="235"/>
    </row>
    <row r="26" spans="1:7" ht="15" x14ac:dyDescent="0.25">
      <c r="A26" s="34" t="s">
        <v>15</v>
      </c>
      <c r="B26" s="25">
        <v>-93683</v>
      </c>
      <c r="C26" s="25">
        <f>-93683</f>
        <v>-93683</v>
      </c>
      <c r="D26" s="25">
        <v>-97173</v>
      </c>
    </row>
    <row r="27" spans="1:7" x14ac:dyDescent="0.2">
      <c r="A27" s="46"/>
      <c r="B27" s="39"/>
      <c r="C27" s="235"/>
      <c r="D27" s="235"/>
    </row>
    <row r="28" spans="1:7" ht="15.75" thickBot="1" x14ac:dyDescent="0.3">
      <c r="A28" s="47" t="s">
        <v>16</v>
      </c>
      <c r="B28" s="48">
        <f>SUM(B24:B26)</f>
        <v>-139878</v>
      </c>
      <c r="C28" s="48">
        <f>SUM(C24:C26)</f>
        <v>-89910</v>
      </c>
      <c r="D28" s="48">
        <f>SUM(D24:D26)</f>
        <v>-90339</v>
      </c>
    </row>
    <row r="29" spans="1:7" ht="13.5" thickTop="1" x14ac:dyDescent="0.2">
      <c r="A29" s="46"/>
      <c r="B29" s="39"/>
      <c r="C29" s="235">
        <f>+C28-'Balance Sheet'!D27</f>
        <v>0</v>
      </c>
      <c r="D29" s="235"/>
    </row>
    <row r="30" spans="1:7" ht="14.25" x14ac:dyDescent="0.2">
      <c r="A30" s="227"/>
      <c r="B30" s="50" t="s">
        <v>34</v>
      </c>
      <c r="C30" s="50"/>
      <c r="D30" s="50"/>
      <c r="E30" s="50"/>
    </row>
    <row r="31" spans="1:7" ht="15" x14ac:dyDescent="0.25">
      <c r="A31" s="52"/>
      <c r="B31" s="181"/>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10" zoomScale="90" zoomScaleNormal="90" zoomScaleSheetLayoutView="120" zoomScalePageLayoutView="40" workbookViewId="0">
      <selection activeCell="H20" sqref="H20"/>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5" t="s">
        <v>0</v>
      </c>
      <c r="C1" s="305"/>
      <c r="D1" s="305"/>
      <c r="E1" s="305"/>
      <c r="F1" s="305"/>
      <c r="G1" s="305"/>
      <c r="H1" s="305"/>
      <c r="I1" s="305"/>
    </row>
    <row r="2" spans="2:15" ht="20.25" x14ac:dyDescent="0.3">
      <c r="B2" s="305" t="s">
        <v>111</v>
      </c>
      <c r="C2" s="305"/>
      <c r="D2" s="305"/>
      <c r="E2" s="305"/>
      <c r="F2" s="305"/>
      <c r="G2" s="305"/>
      <c r="H2" s="305"/>
      <c r="I2" s="305"/>
    </row>
    <row r="3" spans="2:15" ht="21" x14ac:dyDescent="0.35">
      <c r="B3" s="176"/>
      <c r="C3" s="300" t="s">
        <v>157</v>
      </c>
      <c r="D3" s="300"/>
      <c r="E3" s="300"/>
      <c r="F3" s="300"/>
      <c r="G3" s="300"/>
      <c r="H3" s="300"/>
      <c r="I3" s="300"/>
    </row>
    <row r="4" spans="2:15" ht="21" x14ac:dyDescent="0.35">
      <c r="B4" s="136"/>
      <c r="C4" s="300"/>
      <c r="D4" s="300"/>
      <c r="E4" s="300"/>
      <c r="F4" s="300"/>
      <c r="G4" s="137"/>
      <c r="H4" s="93"/>
      <c r="I4" s="93"/>
    </row>
    <row r="5" spans="2:15" x14ac:dyDescent="0.2">
      <c r="B5" s="95"/>
      <c r="C5" s="95"/>
      <c r="D5" s="96"/>
      <c r="E5" s="95"/>
      <c r="F5" s="95"/>
      <c r="G5" s="95"/>
      <c r="H5" s="97"/>
      <c r="I5" s="97"/>
    </row>
    <row r="6" spans="2:15" x14ac:dyDescent="0.2">
      <c r="B6" s="303" t="s">
        <v>166</v>
      </c>
      <c r="C6" s="304"/>
      <c r="D6" s="304"/>
      <c r="E6" s="304"/>
      <c r="F6" s="304"/>
      <c r="G6" s="304"/>
      <c r="H6" s="190">
        <v>2018</v>
      </c>
      <c r="I6" s="256">
        <v>2017</v>
      </c>
    </row>
    <row r="7" spans="2:15" x14ac:dyDescent="0.2">
      <c r="B7" s="185"/>
      <c r="C7" s="186"/>
      <c r="D7" s="186"/>
      <c r="E7" s="186"/>
      <c r="F7" s="186"/>
      <c r="G7" s="186"/>
      <c r="H7" s="6"/>
      <c r="I7" s="228"/>
    </row>
    <row r="8" spans="2:15" ht="15.75" x14ac:dyDescent="0.25">
      <c r="B8" s="100"/>
      <c r="C8" s="98"/>
      <c r="D8" s="101"/>
      <c r="E8" s="98"/>
      <c r="F8" s="98"/>
      <c r="G8" s="99"/>
      <c r="H8" s="32" t="s">
        <v>3</v>
      </c>
      <c r="I8" s="233" t="s">
        <v>3</v>
      </c>
    </row>
    <row r="9" spans="2:15" ht="15" x14ac:dyDescent="0.25">
      <c r="B9" s="102" t="s">
        <v>37</v>
      </c>
      <c r="C9" s="33"/>
      <c r="D9" s="33"/>
      <c r="E9" s="33"/>
      <c r="F9" s="33"/>
      <c r="G9" s="103"/>
      <c r="H9" s="104"/>
      <c r="I9" s="246"/>
    </row>
    <row r="10" spans="2:15" ht="15" x14ac:dyDescent="0.25">
      <c r="B10" s="105"/>
      <c r="C10" s="106" t="s">
        <v>116</v>
      </c>
      <c r="D10" s="107"/>
      <c r="E10" s="33"/>
      <c r="F10" s="33"/>
      <c r="G10" s="103"/>
      <c r="H10" s="104"/>
      <c r="I10" s="246"/>
    </row>
    <row r="11" spans="2:15" x14ac:dyDescent="0.2">
      <c r="B11" s="108"/>
      <c r="C11" s="106" t="s">
        <v>199</v>
      </c>
      <c r="D11" s="29"/>
      <c r="E11" s="106"/>
      <c r="F11" s="29"/>
      <c r="G11" s="29"/>
      <c r="H11" s="235">
        <f>+'Income Sheet'!D35</f>
        <v>8848</v>
      </c>
      <c r="I11" s="235">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156</v>
      </c>
      <c r="D13" s="29"/>
      <c r="E13" s="29"/>
      <c r="F13" s="29"/>
      <c r="G13" s="29"/>
      <c r="H13" s="247"/>
      <c r="I13" s="247"/>
    </row>
    <row r="14" spans="2:15" ht="13.9" customHeight="1" x14ac:dyDescent="0.25">
      <c r="B14" s="108"/>
      <c r="C14" s="106" t="s">
        <v>38</v>
      </c>
      <c r="D14" s="29"/>
      <c r="E14" s="106"/>
      <c r="F14" s="29"/>
      <c r="G14" s="29"/>
      <c r="H14" s="235">
        <v>5376</v>
      </c>
      <c r="I14" s="235">
        <v>5503</v>
      </c>
      <c r="L14" s="187" t="s">
        <v>74</v>
      </c>
      <c r="M14" s="188"/>
      <c r="N14" s="189" t="s">
        <v>95</v>
      </c>
      <c r="O14" s="189" t="s">
        <v>77</v>
      </c>
    </row>
    <row r="15" spans="2:15" ht="13.9" customHeight="1" x14ac:dyDescent="0.25">
      <c r="B15" s="108"/>
      <c r="C15" s="106" t="s">
        <v>39</v>
      </c>
      <c r="D15" s="29"/>
      <c r="E15" s="106"/>
      <c r="F15" s="29"/>
      <c r="G15" s="29"/>
      <c r="H15" s="259">
        <v>2613</v>
      </c>
      <c r="I15" s="235">
        <v>2051</v>
      </c>
      <c r="L15" s="191"/>
      <c r="M15" s="60"/>
      <c r="N15" s="61"/>
      <c r="O15" s="61"/>
    </row>
    <row r="16" spans="2:15" ht="13.9" customHeight="1" x14ac:dyDescent="0.25">
      <c r="B16" s="108"/>
      <c r="C16" s="106" t="s">
        <v>40</v>
      </c>
      <c r="D16" s="29"/>
      <c r="E16" s="106"/>
      <c r="F16" s="29"/>
      <c r="G16" s="29"/>
      <c r="H16" s="259">
        <v>2614</v>
      </c>
      <c r="I16" s="235">
        <v>2221</v>
      </c>
      <c r="L16" s="63"/>
      <c r="M16" s="63"/>
      <c r="N16" s="64" t="s">
        <v>3</v>
      </c>
      <c r="O16" s="64" t="s">
        <v>3</v>
      </c>
    </row>
    <row r="17" spans="2:18" ht="15" hidden="1" x14ac:dyDescent="0.25">
      <c r="B17" s="108"/>
      <c r="C17" s="106" t="s">
        <v>41</v>
      </c>
      <c r="D17" s="114"/>
      <c r="E17" s="115"/>
      <c r="F17" s="114"/>
      <c r="G17" s="114"/>
      <c r="H17" s="235"/>
      <c r="I17" s="235"/>
      <c r="L17" s="66" t="s">
        <v>17</v>
      </c>
      <c r="M17" s="66"/>
      <c r="N17" s="67"/>
      <c r="O17" s="67"/>
    </row>
    <row r="18" spans="2:18" x14ac:dyDescent="0.2">
      <c r="B18" s="111"/>
      <c r="C18" s="111"/>
      <c r="D18" s="111"/>
      <c r="E18" s="110"/>
      <c r="F18" s="111"/>
      <c r="G18" s="111"/>
      <c r="H18" s="284">
        <f>SUM(H14:H17)</f>
        <v>10603</v>
      </c>
      <c r="I18" s="284">
        <f>SUM(I14:I17)</f>
        <v>9775</v>
      </c>
      <c r="L18" s="70" t="s">
        <v>18</v>
      </c>
      <c r="M18" s="70"/>
      <c r="N18" s="22">
        <f>'Balance Sheet'!D10</f>
        <v>53706</v>
      </c>
      <c r="O18" s="22">
        <f>'Balance Sheet'!E10</f>
        <v>64214</v>
      </c>
      <c r="P18" s="178">
        <f>O18-N18</f>
        <v>10508</v>
      </c>
    </row>
    <row r="19" spans="2:18" ht="12.6" customHeight="1" x14ac:dyDescent="0.2">
      <c r="B19" s="108"/>
      <c r="C19" s="106" t="s">
        <v>42</v>
      </c>
      <c r="D19" s="29"/>
      <c r="E19" s="29"/>
      <c r="F19" s="29"/>
      <c r="G19" s="29"/>
      <c r="H19" s="248"/>
      <c r="I19" s="248"/>
      <c r="L19" s="70" t="s">
        <v>19</v>
      </c>
      <c r="M19" s="70"/>
      <c r="N19" s="22">
        <f>'Balance Sheet'!D11</f>
        <v>68852</v>
      </c>
      <c r="O19" s="22">
        <f>'Balance Sheet'!E11</f>
        <v>41429</v>
      </c>
      <c r="P19" s="200">
        <f t="shared" ref="P19:P45" si="0">O19-N19</f>
        <v>-27423</v>
      </c>
    </row>
    <row r="20" spans="2:18" x14ac:dyDescent="0.2">
      <c r="B20" s="29"/>
      <c r="C20" s="106" t="s">
        <v>43</v>
      </c>
      <c r="D20" s="29"/>
      <c r="E20" s="106"/>
      <c r="F20" s="29"/>
      <c r="G20" s="29"/>
      <c r="H20" s="259">
        <f>(+'Balance Sheet'!D18-'Balance Sheet'!E18)-H34+('Balance Sheet'!D19-'Balance Sheet'!E19)-1</f>
        <v>12073</v>
      </c>
      <c r="I20" s="235">
        <v>-1118</v>
      </c>
      <c r="K20" s="200" t="s">
        <v>203</v>
      </c>
      <c r="L20" s="70" t="s">
        <v>96</v>
      </c>
      <c r="M20" s="70"/>
      <c r="N20" s="22">
        <f>'Balance Sheet'!D12</f>
        <v>38551</v>
      </c>
      <c r="O20" s="22">
        <f>'Balance Sheet'!E12</f>
        <v>39529</v>
      </c>
      <c r="P20" s="200">
        <f t="shared" si="0"/>
        <v>978</v>
      </c>
      <c r="Q20" s="178"/>
      <c r="R20" s="178"/>
    </row>
    <row r="21" spans="2:18" x14ac:dyDescent="0.2">
      <c r="B21" s="29"/>
      <c r="C21" s="106" t="s">
        <v>44</v>
      </c>
      <c r="D21" s="29"/>
      <c r="E21" s="106"/>
      <c r="F21" s="29"/>
      <c r="G21" s="29"/>
      <c r="H21" s="259">
        <f>+'Balance Sheet'!E11-'Balance Sheet'!D11</f>
        <v>-27423</v>
      </c>
      <c r="I21" s="235">
        <v>-7028</v>
      </c>
      <c r="K21" s="178">
        <f>+H21+27423</f>
        <v>0</v>
      </c>
      <c r="L21" s="70" t="s">
        <v>97</v>
      </c>
      <c r="M21" s="70"/>
      <c r="N21" s="22">
        <f>'Balance Sheet'!D13</f>
        <v>45180</v>
      </c>
      <c r="O21" s="22">
        <f>'Balance Sheet'!E13</f>
        <v>45276</v>
      </c>
      <c r="P21" s="178">
        <f t="shared" si="0"/>
        <v>96</v>
      </c>
    </row>
    <row r="22" spans="2:18" x14ac:dyDescent="0.2">
      <c r="B22" s="95"/>
      <c r="C22" s="117" t="s">
        <v>45</v>
      </c>
      <c r="D22" s="95"/>
      <c r="E22" s="96"/>
      <c r="F22" s="95"/>
      <c r="G22" s="95"/>
      <c r="H22" s="235">
        <f>+'Balance Sheet'!D20-'Balance Sheet'!E20</f>
        <v>0</v>
      </c>
      <c r="I22" s="235">
        <v>0</v>
      </c>
      <c r="L22" s="70" t="s">
        <v>98</v>
      </c>
      <c r="M22" s="70"/>
      <c r="N22" s="22">
        <f>'Balance Sheet'!D14</f>
        <v>2005167</v>
      </c>
      <c r="O22" s="22">
        <f>'Balance Sheet'!E14</f>
        <v>2005167</v>
      </c>
      <c r="P22" s="178">
        <f t="shared" si="0"/>
        <v>0</v>
      </c>
    </row>
    <row r="23" spans="2:18" ht="15" x14ac:dyDescent="0.25">
      <c r="B23" s="95"/>
      <c r="C23" s="106" t="s">
        <v>84</v>
      </c>
      <c r="D23" s="29"/>
      <c r="E23" s="106"/>
      <c r="F23" s="29"/>
      <c r="G23" s="29"/>
      <c r="H23" s="235">
        <f>+'Balance Sheet'!E12-'Balance Sheet'!D12</f>
        <v>978</v>
      </c>
      <c r="I23" s="235">
        <v>6662</v>
      </c>
      <c r="L23" s="73" t="s">
        <v>20</v>
      </c>
      <c r="M23" s="73"/>
      <c r="N23" s="74">
        <f>'Balance Sheet'!D15</f>
        <v>2211456</v>
      </c>
      <c r="O23" s="74">
        <f>'Balance Sheet'!E15</f>
        <v>2195615</v>
      </c>
      <c r="P23" s="178">
        <f t="shared" si="0"/>
        <v>-15841</v>
      </c>
    </row>
    <row r="24" spans="2:18" ht="15" x14ac:dyDescent="0.25">
      <c r="B24" s="29"/>
      <c r="C24" s="106" t="s">
        <v>46</v>
      </c>
      <c r="D24" s="29"/>
      <c r="E24" s="106"/>
      <c r="F24" s="29"/>
      <c r="G24" s="29"/>
      <c r="H24" s="235">
        <f>+'Balance Sheet'!E31-'Balance Sheet'!D31</f>
        <v>97</v>
      </c>
      <c r="I24" s="235">
        <v>1654</v>
      </c>
      <c r="L24" s="75"/>
      <c r="M24" s="75"/>
      <c r="N24" s="139"/>
      <c r="O24" s="139"/>
      <c r="P24" s="178"/>
    </row>
    <row r="25" spans="2:18" ht="15" x14ac:dyDescent="0.25">
      <c r="B25" s="111"/>
      <c r="C25" s="111"/>
      <c r="D25" s="111"/>
      <c r="E25" s="110"/>
      <c r="F25" s="111"/>
      <c r="G25" s="111"/>
      <c r="H25" s="284">
        <f>SUM(H20:H24)</f>
        <v>-14275</v>
      </c>
      <c r="I25" s="284">
        <f>SUM(I20:I24)</f>
        <v>170</v>
      </c>
      <c r="L25" s="76" t="s">
        <v>21</v>
      </c>
      <c r="M25" s="76"/>
      <c r="N25" s="140"/>
      <c r="O25" s="140"/>
      <c r="P25" s="178"/>
    </row>
    <row r="26" spans="2:18" x14ac:dyDescent="0.2">
      <c r="B26" s="29"/>
      <c r="C26" s="106" t="s">
        <v>47</v>
      </c>
      <c r="D26" s="29"/>
      <c r="E26" s="29"/>
      <c r="F26" s="29"/>
      <c r="G26" s="29"/>
      <c r="H26" s="248"/>
      <c r="I26" s="248"/>
      <c r="L26" s="70" t="s">
        <v>85</v>
      </c>
      <c r="M26" s="70"/>
      <c r="N26" s="22" t="e">
        <f>'Balance Sheet'!#REF!</f>
        <v>#REF!</v>
      </c>
      <c r="O26" s="22">
        <f>'Balance Sheet'!E18</f>
        <v>37264</v>
      </c>
      <c r="P26" s="200" t="e">
        <f>O26-N26</f>
        <v>#REF!</v>
      </c>
      <c r="Q26" s="202" t="s">
        <v>34</v>
      </c>
    </row>
    <row r="27" spans="2:18" x14ac:dyDescent="0.2">
      <c r="B27" s="29"/>
      <c r="C27" s="106" t="s">
        <v>148</v>
      </c>
      <c r="D27" s="29"/>
      <c r="E27" s="106"/>
      <c r="F27" s="29"/>
      <c r="G27" s="29"/>
      <c r="H27" s="235">
        <v>-3676</v>
      </c>
      <c r="I27" s="235">
        <v>-4957</v>
      </c>
      <c r="K27" s="178">
        <f>+H27+H15</f>
        <v>-1063</v>
      </c>
      <c r="L27" s="70" t="s">
        <v>22</v>
      </c>
      <c r="M27" s="70"/>
      <c r="N27" s="22" t="e">
        <f>'Balance Sheet'!#REF!</f>
        <v>#REF!</v>
      </c>
      <c r="O27" s="22">
        <f>'Balance Sheet'!E19</f>
        <v>0</v>
      </c>
      <c r="P27" s="178" t="e">
        <f t="shared" si="0"/>
        <v>#REF!</v>
      </c>
    </row>
    <row r="28" spans="2:18" x14ac:dyDescent="0.2">
      <c r="B28" s="29"/>
      <c r="C28" s="106" t="s">
        <v>48</v>
      </c>
      <c r="D28" s="29"/>
      <c r="E28" s="106"/>
      <c r="F28" s="29"/>
      <c r="G28" s="29"/>
      <c r="H28" s="235">
        <v>-825</v>
      </c>
      <c r="I28" s="235">
        <v>-635</v>
      </c>
      <c r="K28" s="178">
        <f>+H16+H28</f>
        <v>1789</v>
      </c>
      <c r="L28" s="70" t="s">
        <v>86</v>
      </c>
      <c r="M28" s="70"/>
      <c r="N28" s="22" t="e">
        <f>'Balance Sheet'!#REF!</f>
        <v>#REF!</v>
      </c>
      <c r="O28" s="22">
        <f>'Balance Sheet'!E20</f>
        <v>1422</v>
      </c>
      <c r="P28" s="200" t="e">
        <f t="shared" si="0"/>
        <v>#REF!</v>
      </c>
    </row>
    <row r="29" spans="2:18" x14ac:dyDescent="0.2">
      <c r="B29" s="109"/>
      <c r="C29" s="111"/>
      <c r="D29" s="111"/>
      <c r="E29" s="110"/>
      <c r="F29" s="111"/>
      <c r="G29" s="111"/>
      <c r="H29" s="284">
        <f>SUM(H27:H28)</f>
        <v>-4501</v>
      </c>
      <c r="I29" s="284">
        <f>SUM(I27:I28)</f>
        <v>-5592</v>
      </c>
      <c r="L29" s="77" t="s">
        <v>87</v>
      </c>
      <c r="M29" s="77"/>
      <c r="N29" s="22" t="e">
        <f>'Balance Sheet'!#REF!</f>
        <v>#REF!</v>
      </c>
      <c r="O29" s="22">
        <f>'Balance Sheet'!E21</f>
        <v>120000</v>
      </c>
      <c r="P29" s="178" t="e">
        <f t="shared" si="0"/>
        <v>#REF!</v>
      </c>
    </row>
    <row r="30" spans="2:18" ht="15" x14ac:dyDescent="0.25">
      <c r="B30" s="118" t="s">
        <v>80</v>
      </c>
      <c r="C30" s="119"/>
      <c r="D30" s="119"/>
      <c r="E30" s="119"/>
      <c r="F30" s="119"/>
      <c r="G30" s="119" t="s">
        <v>34</v>
      </c>
      <c r="H30" s="242">
        <f>+H12+H18+H25+H29</f>
        <v>675</v>
      </c>
      <c r="I30" s="242">
        <f>+I12+I18+I25+I29</f>
        <v>5452</v>
      </c>
      <c r="L30" s="70" t="s">
        <v>88</v>
      </c>
      <c r="M30" s="70"/>
      <c r="N30" s="22" t="e">
        <f>'Balance Sheet'!#REF!</f>
        <v>#REF!</v>
      </c>
      <c r="O30" s="22">
        <f>'Balance Sheet'!E22</f>
        <v>29229</v>
      </c>
      <c r="P30" s="200" t="e">
        <f t="shared" si="0"/>
        <v>#REF!</v>
      </c>
    </row>
    <row r="31" spans="2:18" x14ac:dyDescent="0.2">
      <c r="B31" s="29"/>
      <c r="C31" s="29"/>
      <c r="D31" s="106"/>
      <c r="E31" s="29"/>
      <c r="F31" s="29"/>
      <c r="G31" s="29"/>
      <c r="H31" s="248"/>
      <c r="I31" s="248"/>
      <c r="L31" s="70" t="s">
        <v>89</v>
      </c>
      <c r="M31" s="70"/>
      <c r="N31" s="22" t="e">
        <f>'Balance Sheet'!#REF!</f>
        <v>#REF!</v>
      </c>
      <c r="O31" s="22">
        <f>'Balance Sheet'!E23</f>
        <v>96216</v>
      </c>
      <c r="P31" s="200" t="e">
        <f t="shared" si="0"/>
        <v>#REF!</v>
      </c>
    </row>
    <row r="32" spans="2:18" ht="15" x14ac:dyDescent="0.25">
      <c r="B32" s="102" t="s">
        <v>83</v>
      </c>
      <c r="C32" s="120"/>
      <c r="D32" s="120"/>
      <c r="E32" s="120"/>
      <c r="F32" s="120"/>
      <c r="G32" s="120"/>
      <c r="H32" s="249"/>
      <c r="I32" s="249"/>
      <c r="L32" s="70" t="s">
        <v>99</v>
      </c>
      <c r="M32" s="70"/>
      <c r="N32" s="22">
        <f>'Balance Sheet'!D24</f>
        <v>2005167</v>
      </c>
      <c r="O32" s="22">
        <f>'Balance Sheet'!E24</f>
        <v>2005167</v>
      </c>
      <c r="P32" s="178">
        <f t="shared" si="0"/>
        <v>0</v>
      </c>
    </row>
    <row r="33" spans="2:18" ht="15" x14ac:dyDescent="0.25">
      <c r="B33" s="4"/>
      <c r="C33" s="106" t="s">
        <v>49</v>
      </c>
      <c r="D33" s="106"/>
      <c r="E33" s="29"/>
      <c r="F33" s="29"/>
      <c r="G33" s="29"/>
      <c r="H33" s="235">
        <f>(+'Balance Sheet'!E30-'Balance Sheet'!D30)-5376</f>
        <v>-10764</v>
      </c>
      <c r="I33" s="235">
        <v>-2759</v>
      </c>
      <c r="L33" s="73" t="s">
        <v>23</v>
      </c>
      <c r="M33" s="73"/>
      <c r="N33" s="74">
        <f>'Balance Sheet'!D25</f>
        <v>2301366</v>
      </c>
      <c r="O33" s="74">
        <f>'Balance Sheet'!E25</f>
        <v>2289298</v>
      </c>
      <c r="P33" s="178">
        <f t="shared" si="0"/>
        <v>-12068</v>
      </c>
    </row>
    <row r="34" spans="2:18" x14ac:dyDescent="0.2">
      <c r="B34" s="4"/>
      <c r="C34" s="106" t="s">
        <v>82</v>
      </c>
      <c r="D34" s="29"/>
      <c r="E34" s="106"/>
      <c r="F34" s="29"/>
      <c r="G34" s="29"/>
      <c r="H34" s="235">
        <v>-345</v>
      </c>
      <c r="I34" s="235">
        <v>-635</v>
      </c>
      <c r="J34" s="178"/>
      <c r="L34" s="77"/>
      <c r="M34" s="77"/>
      <c r="N34" s="56"/>
      <c r="O34" s="56"/>
      <c r="P34" s="178"/>
    </row>
    <row r="35" spans="2:18" ht="15" x14ac:dyDescent="0.25">
      <c r="B35" s="118" t="s">
        <v>50</v>
      </c>
      <c r="C35" s="111"/>
      <c r="D35" s="111"/>
      <c r="E35" s="110"/>
      <c r="F35" s="111"/>
      <c r="G35" s="111"/>
      <c r="H35" s="242">
        <f>SUM(H33:H34)</f>
        <v>-11109</v>
      </c>
      <c r="I35" s="242">
        <f>SUM(I33:I34)</f>
        <v>-3394</v>
      </c>
      <c r="L35" s="76" t="s">
        <v>24</v>
      </c>
      <c r="M35" s="76"/>
      <c r="N35" s="79">
        <f>'Balance Sheet'!D27</f>
        <v>-89910</v>
      </c>
      <c r="O35" s="79">
        <f>'Balance Sheet'!E27</f>
        <v>-93683</v>
      </c>
      <c r="P35" s="178">
        <f t="shared" si="0"/>
        <v>-3773</v>
      </c>
    </row>
    <row r="36" spans="2:18" x14ac:dyDescent="0.2">
      <c r="B36" s="29"/>
      <c r="C36" s="29"/>
      <c r="D36" s="106"/>
      <c r="E36" s="29"/>
      <c r="F36" s="29"/>
      <c r="G36" s="29"/>
      <c r="H36" s="248"/>
      <c r="I36" s="248"/>
      <c r="L36" s="77"/>
      <c r="M36" s="77"/>
      <c r="N36" s="57"/>
      <c r="O36" s="57"/>
      <c r="P36" s="178"/>
    </row>
    <row r="37" spans="2:18" ht="15" x14ac:dyDescent="0.25">
      <c r="B37" s="105" t="s">
        <v>51</v>
      </c>
      <c r="C37" s="120"/>
      <c r="D37" s="120"/>
      <c r="E37" s="120"/>
      <c r="F37" s="120"/>
      <c r="G37" s="120"/>
      <c r="H37" s="249"/>
      <c r="I37" s="249"/>
      <c r="L37" s="66" t="s">
        <v>25</v>
      </c>
      <c r="M37" s="66"/>
      <c r="N37" s="141"/>
      <c r="O37" s="141"/>
      <c r="P37" s="178"/>
    </row>
    <row r="38" spans="2:18" ht="15" x14ac:dyDescent="0.25">
      <c r="B38" s="121"/>
      <c r="C38" s="29" t="s">
        <v>79</v>
      </c>
      <c r="D38" s="29"/>
      <c r="E38" s="29"/>
      <c r="F38" s="29"/>
      <c r="G38" s="120"/>
      <c r="H38" s="235">
        <f>(+'Balance Sheet'!E13-'Balance Sheet'!D13)-231</f>
        <v>-135</v>
      </c>
      <c r="I38" s="235">
        <v>-130</v>
      </c>
      <c r="J38" s="178"/>
      <c r="K38" s="178"/>
      <c r="L38" s="70" t="s">
        <v>90</v>
      </c>
      <c r="M38" s="70"/>
      <c r="N38" s="22">
        <f>'Balance Sheet'!D30</f>
        <v>106182</v>
      </c>
      <c r="O38" s="22">
        <f>'Balance Sheet'!E30</f>
        <v>100794</v>
      </c>
      <c r="P38" s="200">
        <f t="shared" si="0"/>
        <v>-5388</v>
      </c>
      <c r="R38" s="202" t="s">
        <v>34</v>
      </c>
    </row>
    <row r="39" spans="2:18" ht="15" x14ac:dyDescent="0.25">
      <c r="B39" s="122" t="s">
        <v>81</v>
      </c>
      <c r="C39" s="119"/>
      <c r="D39" s="119"/>
      <c r="E39" s="119"/>
      <c r="F39" s="119"/>
      <c r="G39" s="119"/>
      <c r="H39" s="242">
        <f>SUM(H38)</f>
        <v>-135</v>
      </c>
      <c r="I39" s="242">
        <f>SUM(I38)</f>
        <v>-130</v>
      </c>
      <c r="L39" s="70" t="s">
        <v>26</v>
      </c>
      <c r="M39" s="70"/>
      <c r="N39" s="22">
        <f>'Balance Sheet'!D31</f>
        <v>6712</v>
      </c>
      <c r="O39" s="22">
        <f>'Balance Sheet'!E31</f>
        <v>6809</v>
      </c>
      <c r="P39" s="200">
        <f t="shared" si="0"/>
        <v>97</v>
      </c>
    </row>
    <row r="40" spans="2:18" ht="15" x14ac:dyDescent="0.25">
      <c r="B40" s="29"/>
      <c r="C40" s="29"/>
      <c r="D40" s="29"/>
      <c r="E40" s="29"/>
      <c r="F40" s="29"/>
      <c r="G40" s="29"/>
      <c r="H40" s="248"/>
      <c r="I40" s="248"/>
      <c r="L40" s="73" t="s">
        <v>27</v>
      </c>
      <c r="M40" s="73"/>
      <c r="N40" s="74">
        <f>'Balance Sheet'!D32</f>
        <v>112894</v>
      </c>
      <c r="O40" s="74">
        <f>'Balance Sheet'!E32</f>
        <v>107603</v>
      </c>
      <c r="P40" s="178">
        <f t="shared" si="0"/>
        <v>-5291</v>
      </c>
    </row>
    <row r="41" spans="2:18" ht="15" x14ac:dyDescent="0.25">
      <c r="B41" s="105" t="s">
        <v>52</v>
      </c>
      <c r="C41" s="120"/>
      <c r="D41" s="120"/>
      <c r="E41" s="120"/>
      <c r="F41" s="120"/>
      <c r="G41" s="120"/>
      <c r="H41" s="249"/>
      <c r="I41" s="249"/>
      <c r="L41" s="78"/>
      <c r="M41" s="78"/>
      <c r="N41" s="81"/>
      <c r="O41" s="81"/>
      <c r="P41" s="178"/>
    </row>
    <row r="42" spans="2:18" ht="15" x14ac:dyDescent="0.25">
      <c r="B42" s="121"/>
      <c r="C42" s="29" t="s">
        <v>154</v>
      </c>
      <c r="D42" s="29"/>
      <c r="E42" s="29"/>
      <c r="F42" s="29"/>
      <c r="G42" s="120"/>
      <c r="H42" s="235">
        <f>+'Balance Sheet'!D21-'Balance Sheet'!E21</f>
        <v>0</v>
      </c>
      <c r="I42" s="235">
        <v>0</v>
      </c>
      <c r="L42" s="66" t="s">
        <v>91</v>
      </c>
      <c r="M42" s="66"/>
      <c r="N42" s="141"/>
      <c r="O42" s="141"/>
      <c r="P42" s="178"/>
    </row>
    <row r="43" spans="2:18" ht="15" x14ac:dyDescent="0.25">
      <c r="B43" s="122" t="s">
        <v>155</v>
      </c>
      <c r="C43" s="119"/>
      <c r="D43" s="119"/>
      <c r="E43" s="119"/>
      <c r="F43" s="119"/>
      <c r="G43" s="119"/>
      <c r="H43" s="242">
        <f>SUM(H42)</f>
        <v>0</v>
      </c>
      <c r="I43" s="242">
        <f>SUM(I42)</f>
        <v>0</v>
      </c>
      <c r="L43" s="70" t="s">
        <v>92</v>
      </c>
      <c r="M43" s="70"/>
      <c r="N43" s="22">
        <f>'Balance Sheet'!D35</f>
        <v>12284</v>
      </c>
      <c r="O43" s="22">
        <f>'Balance Sheet'!E35</f>
        <v>3436</v>
      </c>
      <c r="P43" s="178">
        <f t="shared" si="0"/>
        <v>-8848</v>
      </c>
    </row>
    <row r="44" spans="2:18" x14ac:dyDescent="0.2">
      <c r="B44" s="29"/>
      <c r="C44" s="29"/>
      <c r="D44" s="29"/>
      <c r="E44" s="29"/>
      <c r="F44" s="29"/>
      <c r="G44" s="29" t="s">
        <v>34</v>
      </c>
      <c r="H44" s="116"/>
      <c r="I44" s="248"/>
      <c r="L44" s="70" t="s">
        <v>28</v>
      </c>
      <c r="M44" s="70"/>
      <c r="N44" s="22">
        <f>'Balance Sheet'!D36</f>
        <v>10700</v>
      </c>
      <c r="O44" s="22">
        <f>'Balance Sheet'!E36</f>
        <v>10484</v>
      </c>
      <c r="P44" s="178">
        <f t="shared" si="0"/>
        <v>-216</v>
      </c>
    </row>
    <row r="45" spans="2:18" ht="15.75" thickBot="1" x14ac:dyDescent="0.3">
      <c r="B45" s="105" t="s">
        <v>200</v>
      </c>
      <c r="C45" s="33"/>
      <c r="D45" s="120"/>
      <c r="E45" s="120"/>
      <c r="F45" s="120"/>
      <c r="G45" s="120"/>
      <c r="H45" s="79">
        <f>+H43+H39+H35+H30</f>
        <v>-10569</v>
      </c>
      <c r="I45" s="79">
        <f>+I43+I39+I35+I30</f>
        <v>1928</v>
      </c>
      <c r="J45" s="178"/>
      <c r="K45" s="178">
        <f>+H45+10508+H47</f>
        <v>0</v>
      </c>
      <c r="L45" s="80" t="s">
        <v>91</v>
      </c>
      <c r="M45" s="80"/>
      <c r="N45" s="48">
        <f>'Balance Sheet'!D37</f>
        <v>22984</v>
      </c>
      <c r="O45" s="48">
        <f>'Balance Sheet'!E37</f>
        <v>13920</v>
      </c>
      <c r="P45" s="178">
        <f t="shared" si="0"/>
        <v>-9064</v>
      </c>
      <c r="Q45" s="178"/>
    </row>
    <row r="46" spans="2:18" ht="15.75" thickTop="1" x14ac:dyDescent="0.25">
      <c r="B46" s="105" t="s">
        <v>150</v>
      </c>
      <c r="C46" s="33"/>
      <c r="D46" s="33"/>
      <c r="E46" s="33"/>
      <c r="F46" s="123"/>
      <c r="G46" s="33"/>
      <c r="H46" s="235">
        <v>64214</v>
      </c>
      <c r="I46" s="235">
        <v>33005</v>
      </c>
    </row>
    <row r="47" spans="2:18" x14ac:dyDescent="0.2">
      <c r="B47" s="108"/>
      <c r="C47" s="106" t="s">
        <v>117</v>
      </c>
      <c r="D47" s="29"/>
      <c r="E47" s="29"/>
      <c r="F47" s="29"/>
      <c r="G47" s="29"/>
      <c r="H47" s="235">
        <v>61</v>
      </c>
      <c r="I47" s="235">
        <v>4</v>
      </c>
    </row>
    <row r="48" spans="2:18" ht="15.75" thickBot="1" x14ac:dyDescent="0.3">
      <c r="B48" s="124" t="s">
        <v>151</v>
      </c>
      <c r="C48" s="125"/>
      <c r="D48" s="125"/>
      <c r="E48" s="125"/>
      <c r="F48" s="126"/>
      <c r="G48" s="125"/>
      <c r="H48" s="203">
        <f>+H47+H46+H45</f>
        <v>53706</v>
      </c>
      <c r="I48" s="203">
        <f>+I47+I46+I45</f>
        <v>34937</v>
      </c>
    </row>
    <row r="49" spans="2:9" ht="16.5" thickTop="1" x14ac:dyDescent="0.25">
      <c r="B49" s="127"/>
      <c r="C49" s="127"/>
      <c r="D49" s="127"/>
      <c r="E49" s="127"/>
      <c r="F49" s="99"/>
      <c r="G49" s="127"/>
      <c r="H49" s="265">
        <f>+H48-53706</f>
        <v>0</v>
      </c>
      <c r="I49" s="22"/>
    </row>
    <row r="50" spans="2:9" ht="15.75" x14ac:dyDescent="0.25">
      <c r="B50" s="227"/>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3"/>
  <sheetViews>
    <sheetView showGridLines="0" topLeftCell="A96" zoomScale="90" zoomScaleNormal="90" zoomScaleSheetLayoutView="80" zoomScalePageLayoutView="50" workbookViewId="0">
      <selection activeCell="B124" sqref="B124"/>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0.5703125" style="144" bestFit="1" customWidth="1"/>
    <col min="7" max="12" width="9.140625" style="144"/>
    <col min="13" max="13" width="10.28515625" style="144" bestFit="1" customWidth="1"/>
    <col min="14" max="14" width="15.28515625" style="144" bestFit="1" customWidth="1"/>
    <col min="15" max="16384" width="9.140625" style="144"/>
  </cols>
  <sheetData>
    <row r="1" spans="1:6" ht="14.25" x14ac:dyDescent="0.2">
      <c r="A1" s="143" t="s">
        <v>0</v>
      </c>
    </row>
    <row r="2" spans="1:6" x14ac:dyDescent="0.2">
      <c r="A2" s="145" t="s">
        <v>55</v>
      </c>
    </row>
    <row r="3" spans="1:6" x14ac:dyDescent="0.2">
      <c r="A3" s="145"/>
    </row>
    <row r="4" spans="1:6" x14ac:dyDescent="0.2">
      <c r="A4" s="285" t="s">
        <v>158</v>
      </c>
    </row>
    <row r="5" spans="1:6" x14ac:dyDescent="0.2">
      <c r="A5" s="145"/>
    </row>
    <row r="6" spans="1:6" x14ac:dyDescent="0.2">
      <c r="A6" s="146" t="s">
        <v>56</v>
      </c>
    </row>
    <row r="7" spans="1:6" x14ac:dyDescent="0.2">
      <c r="A7" s="145"/>
    </row>
    <row r="8" spans="1:6" ht="31.5" customHeight="1" x14ac:dyDescent="0.2">
      <c r="A8" s="306" t="s">
        <v>168</v>
      </c>
      <c r="B8" s="306"/>
      <c r="C8" s="306"/>
      <c r="D8" s="306"/>
      <c r="E8" s="306"/>
    </row>
    <row r="9" spans="1:6" x14ac:dyDescent="0.2">
      <c r="A9" s="145"/>
    </row>
    <row r="10" spans="1:6" ht="27.75" customHeight="1" x14ac:dyDescent="0.2">
      <c r="A10" s="306" t="s">
        <v>169</v>
      </c>
      <c r="B10" s="306"/>
      <c r="C10" s="306"/>
      <c r="D10" s="306"/>
      <c r="E10" s="306"/>
    </row>
    <row r="11" spans="1:6" x14ac:dyDescent="0.2">
      <c r="A11" s="145"/>
    </row>
    <row r="12" spans="1:6" x14ac:dyDescent="0.2">
      <c r="A12" s="145"/>
    </row>
    <row r="13" spans="1:6" x14ac:dyDescent="0.2">
      <c r="A13" s="208" t="s">
        <v>108</v>
      </c>
      <c r="F13" s="207"/>
    </row>
    <row r="14" spans="1:6" ht="12" customHeight="1" x14ac:dyDescent="0.2">
      <c r="A14" s="208"/>
      <c r="F14" s="207"/>
    </row>
    <row r="15" spans="1:6" ht="56.45" customHeight="1" x14ac:dyDescent="0.2">
      <c r="A15" s="307" t="s">
        <v>139</v>
      </c>
      <c r="B15" s="307"/>
      <c r="C15" s="307"/>
      <c r="D15" s="307"/>
      <c r="E15" s="307"/>
      <c r="F15" s="207"/>
    </row>
    <row r="16" spans="1:6" ht="13.15" customHeight="1" x14ac:dyDescent="0.2">
      <c r="A16" s="220"/>
      <c r="B16" s="220"/>
      <c r="C16" s="220"/>
      <c r="D16" s="220"/>
      <c r="E16" s="220"/>
      <c r="F16" s="207"/>
    </row>
    <row r="17" spans="1:14" ht="42.6" customHeight="1" x14ac:dyDescent="0.2">
      <c r="A17" s="309" t="s">
        <v>128</v>
      </c>
      <c r="B17" s="309"/>
      <c r="C17" s="309"/>
      <c r="D17" s="309"/>
      <c r="E17" s="309"/>
    </row>
    <row r="18" spans="1:14" ht="13.15" customHeight="1" x14ac:dyDescent="0.2">
      <c r="A18" s="275"/>
      <c r="B18" s="275"/>
      <c r="C18" s="275"/>
      <c r="D18" s="275"/>
      <c r="E18" s="275"/>
      <c r="F18" s="207"/>
    </row>
    <row r="19" spans="1:14" ht="55.9" customHeight="1" x14ac:dyDescent="0.2">
      <c r="A19" s="309" t="s">
        <v>183</v>
      </c>
      <c r="B19" s="309"/>
      <c r="C19" s="309"/>
      <c r="D19" s="309"/>
      <c r="E19" s="309"/>
    </row>
    <row r="20" spans="1:14" ht="13.15" customHeight="1" x14ac:dyDescent="0.2">
      <c r="A20" s="220"/>
      <c r="B20" s="220"/>
      <c r="C20" s="220"/>
      <c r="D20" s="220"/>
      <c r="E20" s="220"/>
      <c r="F20" s="207"/>
    </row>
    <row r="21" spans="1:14" ht="29.45" customHeight="1" x14ac:dyDescent="0.2">
      <c r="A21" s="309" t="s">
        <v>129</v>
      </c>
      <c r="B21" s="309"/>
      <c r="C21" s="309"/>
      <c r="D21" s="309"/>
      <c r="E21" s="309"/>
    </row>
    <row r="22" spans="1:14" ht="13.15" customHeight="1" x14ac:dyDescent="0.2">
      <c r="A22" s="220"/>
      <c r="B22" s="220"/>
      <c r="C22" s="220"/>
      <c r="D22" s="220"/>
      <c r="E22" s="220"/>
      <c r="F22" s="207"/>
    </row>
    <row r="23" spans="1:14" ht="43.15" customHeight="1" x14ac:dyDescent="0.2">
      <c r="A23" s="309" t="s">
        <v>130</v>
      </c>
      <c r="B23" s="309"/>
      <c r="C23" s="309"/>
      <c r="D23" s="309"/>
      <c r="E23" s="309"/>
    </row>
    <row r="24" spans="1:14" ht="13.15" customHeight="1" x14ac:dyDescent="0.2">
      <c r="A24" s="275"/>
      <c r="B24" s="275"/>
      <c r="C24" s="275"/>
      <c r="D24" s="275"/>
      <c r="E24" s="275"/>
      <c r="F24" s="207"/>
    </row>
    <row r="25" spans="1:14" ht="41.45" customHeight="1" x14ac:dyDescent="0.2">
      <c r="A25" s="309" t="s">
        <v>131</v>
      </c>
      <c r="B25" s="309"/>
      <c r="C25" s="309"/>
      <c r="D25" s="309"/>
      <c r="E25" s="309"/>
    </row>
    <row r="26" spans="1:14" ht="12.6" customHeight="1" x14ac:dyDescent="0.2">
      <c r="A26" s="220"/>
      <c r="B26" s="220"/>
      <c r="C26" s="220"/>
      <c r="D26" s="220"/>
      <c r="E26" s="220"/>
    </row>
    <row r="27" spans="1:14" x14ac:dyDescent="0.2">
      <c r="A27" s="307"/>
      <c r="B27" s="307"/>
      <c r="C27" s="307"/>
      <c r="D27" s="307"/>
      <c r="E27" s="307"/>
      <c r="N27" s="204"/>
    </row>
    <row r="28" spans="1:14" ht="24" x14ac:dyDescent="0.2">
      <c r="A28" s="215" t="s">
        <v>125</v>
      </c>
      <c r="B28" s="287" t="s">
        <v>171</v>
      </c>
      <c r="C28" s="287" t="s">
        <v>170</v>
      </c>
      <c r="D28" s="213"/>
      <c r="E28" s="213"/>
      <c r="N28" s="204"/>
    </row>
    <row r="29" spans="1:14" x14ac:dyDescent="0.2">
      <c r="A29" s="216" t="s">
        <v>126</v>
      </c>
      <c r="B29" s="261">
        <v>190258</v>
      </c>
      <c r="C29" s="217">
        <v>454174</v>
      </c>
      <c r="N29" s="204"/>
    </row>
    <row r="30" spans="1:14" x14ac:dyDescent="0.2">
      <c r="A30" s="216" t="s">
        <v>122</v>
      </c>
      <c r="B30" s="261">
        <v>1133399</v>
      </c>
      <c r="C30" s="217">
        <v>1253417</v>
      </c>
      <c r="N30" s="204"/>
    </row>
    <row r="31" spans="1:14" x14ac:dyDescent="0.2">
      <c r="A31" s="216" t="s">
        <v>127</v>
      </c>
      <c r="B31" s="261">
        <v>223</v>
      </c>
      <c r="C31" s="217">
        <v>217</v>
      </c>
      <c r="N31" s="204"/>
    </row>
    <row r="32" spans="1:14" x14ac:dyDescent="0.2">
      <c r="A32" s="218" t="s">
        <v>136</v>
      </c>
      <c r="B32" s="261">
        <f>+B45</f>
        <v>153647</v>
      </c>
      <c r="C32" s="288">
        <f>+C45</f>
        <v>187203</v>
      </c>
      <c r="D32" s="197"/>
      <c r="N32" s="204"/>
    </row>
    <row r="33" spans="1:14" x14ac:dyDescent="0.2">
      <c r="A33" s="216" t="s">
        <v>124</v>
      </c>
      <c r="B33" s="261">
        <v>80056</v>
      </c>
      <c r="C33" s="217">
        <v>110156</v>
      </c>
      <c r="N33" s="204"/>
    </row>
    <row r="34" spans="1:14" x14ac:dyDescent="0.2">
      <c r="A34" s="216" t="s">
        <v>138</v>
      </c>
      <c r="B34" s="261">
        <v>-13766</v>
      </c>
      <c r="C34" s="217">
        <v>-13252</v>
      </c>
      <c r="N34" s="204"/>
    </row>
    <row r="35" spans="1:14" x14ac:dyDescent="0.2">
      <c r="A35" s="216" t="s">
        <v>123</v>
      </c>
      <c r="B35" s="261">
        <v>-1330692</v>
      </c>
      <c r="C35" s="217">
        <v>-1855206</v>
      </c>
      <c r="N35" s="204"/>
    </row>
    <row r="36" spans="1:14" x14ac:dyDescent="0.2">
      <c r="A36" s="216" t="s">
        <v>137</v>
      </c>
      <c r="B36" s="261">
        <v>-201450</v>
      </c>
      <c r="C36" s="217">
        <v>-136709</v>
      </c>
      <c r="N36" s="204"/>
    </row>
    <row r="37" spans="1:14" x14ac:dyDescent="0.2">
      <c r="A37" s="205" t="s">
        <v>106</v>
      </c>
      <c r="B37" s="286">
        <f>SUM(B29:B36)</f>
        <v>11675</v>
      </c>
      <c r="C37" s="289">
        <f>SUM(C29:C36)</f>
        <v>0</v>
      </c>
      <c r="N37" s="204"/>
    </row>
    <row r="38" spans="1:14" s="197" customFormat="1" x14ac:dyDescent="0.2">
      <c r="A38" s="221"/>
      <c r="B38" s="222"/>
      <c r="C38" s="222"/>
      <c r="N38" s="214"/>
    </row>
    <row r="39" spans="1:14" s="197" customFormat="1" x14ac:dyDescent="0.2">
      <c r="A39" s="221"/>
      <c r="B39" s="222"/>
      <c r="C39" s="222"/>
      <c r="N39" s="214"/>
    </row>
    <row r="40" spans="1:14" ht="24" x14ac:dyDescent="0.2">
      <c r="A40" s="215" t="s">
        <v>132</v>
      </c>
      <c r="B40" s="287" t="s">
        <v>171</v>
      </c>
      <c r="C40" s="287" t="s">
        <v>170</v>
      </c>
      <c r="D40" s="213"/>
      <c r="E40" s="213"/>
      <c r="N40" s="204"/>
    </row>
    <row r="41" spans="1:14" x14ac:dyDescent="0.2">
      <c r="A41" s="216" t="s">
        <v>133</v>
      </c>
      <c r="B41" s="261">
        <v>149841</v>
      </c>
      <c r="C41" s="219">
        <v>199475</v>
      </c>
      <c r="N41" s="204"/>
    </row>
    <row r="42" spans="1:14" x14ac:dyDescent="0.2">
      <c r="A42" s="216" t="s">
        <v>113</v>
      </c>
      <c r="B42" s="262">
        <v>0</v>
      </c>
      <c r="C42" s="217">
        <v>0</v>
      </c>
      <c r="N42" s="204"/>
    </row>
    <row r="43" spans="1:14" x14ac:dyDescent="0.2">
      <c r="A43" s="216" t="s">
        <v>134</v>
      </c>
      <c r="B43" s="261">
        <v>-10301</v>
      </c>
      <c r="C43" s="217">
        <v>-24892</v>
      </c>
      <c r="N43" s="204"/>
    </row>
    <row r="44" spans="1:14" x14ac:dyDescent="0.2">
      <c r="A44" s="218" t="s">
        <v>135</v>
      </c>
      <c r="B44" s="261">
        <v>14107</v>
      </c>
      <c r="C44" s="217">
        <v>12620</v>
      </c>
      <c r="D44" s="197"/>
      <c r="N44" s="204"/>
    </row>
    <row r="45" spans="1:14" x14ac:dyDescent="0.2">
      <c r="A45" s="205" t="s">
        <v>106</v>
      </c>
      <c r="B45" s="286">
        <f>SUM(B41:B44)</f>
        <v>153647</v>
      </c>
      <c r="C45" s="289">
        <f>SUM(C41:C44)</f>
        <v>187203</v>
      </c>
      <c r="N45" s="204"/>
    </row>
    <row r="46" spans="1:14" x14ac:dyDescent="0.2">
      <c r="A46" s="148"/>
      <c r="B46" s="152"/>
      <c r="C46" s="290"/>
      <c r="N46" s="204"/>
    </row>
    <row r="47" spans="1:14" x14ac:dyDescent="0.2">
      <c r="A47" s="148"/>
      <c r="B47" s="152"/>
      <c r="C47" s="290"/>
    </row>
    <row r="48" spans="1:14" x14ac:dyDescent="0.2">
      <c r="A48" s="146" t="s">
        <v>103</v>
      </c>
      <c r="C48" s="197"/>
      <c r="N48" s="204"/>
    </row>
    <row r="49" spans="1:5" x14ac:dyDescent="0.2">
      <c r="A49" s="148"/>
      <c r="C49" s="197"/>
    </row>
    <row r="50" spans="1:5" ht="24" x14ac:dyDescent="0.2">
      <c r="A50" s="210" t="s">
        <v>57</v>
      </c>
      <c r="B50" s="287" t="s">
        <v>171</v>
      </c>
      <c r="C50" s="287" t="s">
        <v>170</v>
      </c>
      <c r="D50" s="150"/>
    </row>
    <row r="51" spans="1:5" x14ac:dyDescent="0.2">
      <c r="A51" s="151" t="s">
        <v>104</v>
      </c>
      <c r="B51" s="290">
        <v>47259</v>
      </c>
      <c r="C51" s="290">
        <v>35743</v>
      </c>
      <c r="D51" s="150"/>
    </row>
    <row r="52" spans="1:5" x14ac:dyDescent="0.2">
      <c r="A52" s="151" t="s">
        <v>105</v>
      </c>
      <c r="B52" s="194">
        <v>1204</v>
      </c>
      <c r="C52" s="194">
        <v>1521</v>
      </c>
      <c r="D52" s="150"/>
    </row>
    <row r="53" spans="1:5" x14ac:dyDescent="0.2">
      <c r="A53" s="155" t="s">
        <v>106</v>
      </c>
      <c r="B53" s="156">
        <f>SUM(B51:B52)</f>
        <v>48463</v>
      </c>
      <c r="C53" s="291">
        <f>SUM(C51:C52)</f>
        <v>37264</v>
      </c>
      <c r="D53" s="150"/>
      <c r="E53" s="204"/>
    </row>
    <row r="54" spans="1:5" x14ac:dyDescent="0.2">
      <c r="A54" s="148"/>
      <c r="B54" s="152"/>
      <c r="C54" s="290"/>
      <c r="D54" s="150"/>
      <c r="E54" s="204"/>
    </row>
    <row r="55" spans="1:5" x14ac:dyDescent="0.2">
      <c r="A55" s="148"/>
      <c r="B55" s="150"/>
      <c r="C55" s="292"/>
    </row>
    <row r="56" spans="1:5" x14ac:dyDescent="0.2">
      <c r="A56" s="146" t="s">
        <v>112</v>
      </c>
      <c r="C56" s="197"/>
    </row>
    <row r="57" spans="1:5" x14ac:dyDescent="0.2">
      <c r="A57" s="148"/>
      <c r="C57" s="197"/>
    </row>
    <row r="58" spans="1:5" x14ac:dyDescent="0.2">
      <c r="A58" s="145" t="s">
        <v>121</v>
      </c>
      <c r="C58" s="197"/>
    </row>
    <row r="59" spans="1:5" x14ac:dyDescent="0.2">
      <c r="A59" s="149"/>
      <c r="C59" s="197"/>
    </row>
    <row r="60" spans="1:5" x14ac:dyDescent="0.2">
      <c r="A60" s="148" t="s">
        <v>100</v>
      </c>
      <c r="C60" s="197"/>
    </row>
    <row r="61" spans="1:5" x14ac:dyDescent="0.2">
      <c r="A61" s="148"/>
      <c r="B61" s="150"/>
      <c r="C61" s="292"/>
      <c r="D61" s="150"/>
    </row>
    <row r="62" spans="1:5" ht="24" x14ac:dyDescent="0.2">
      <c r="A62" s="210" t="s">
        <v>57</v>
      </c>
      <c r="B62" s="287" t="s">
        <v>171</v>
      </c>
      <c r="C62" s="287" t="s">
        <v>170</v>
      </c>
      <c r="D62" s="150"/>
    </row>
    <row r="63" spans="1:5" x14ac:dyDescent="0.2">
      <c r="A63" s="151" t="s">
        <v>58</v>
      </c>
      <c r="B63" s="290">
        <f>B78</f>
        <v>7775</v>
      </c>
      <c r="C63" s="290">
        <v>6000</v>
      </c>
      <c r="D63" s="150"/>
    </row>
    <row r="64" spans="1:5" x14ac:dyDescent="0.2">
      <c r="A64" s="151" t="s">
        <v>172</v>
      </c>
      <c r="B64" s="290">
        <f>+B85</f>
        <v>6582</v>
      </c>
      <c r="C64" s="290">
        <v>939</v>
      </c>
      <c r="D64" s="150"/>
    </row>
    <row r="65" spans="1:4" x14ac:dyDescent="0.2">
      <c r="A65" s="151" t="s">
        <v>59</v>
      </c>
      <c r="B65" s="194">
        <f>B92</f>
        <v>649</v>
      </c>
      <c r="C65" s="194">
        <v>641</v>
      </c>
      <c r="D65" s="150"/>
    </row>
    <row r="66" spans="1:4" x14ac:dyDescent="0.2">
      <c r="A66" s="154" t="s">
        <v>102</v>
      </c>
      <c r="B66" s="290">
        <f>C66+Remeasurement!B25</f>
        <v>6556</v>
      </c>
      <c r="C66" s="290">
        <v>6340</v>
      </c>
      <c r="D66" s="150"/>
    </row>
    <row r="67" spans="1:4" x14ac:dyDescent="0.2">
      <c r="A67" s="155" t="s">
        <v>63</v>
      </c>
      <c r="B67" s="291">
        <f>SUM(B63:B66)</f>
        <v>21562</v>
      </c>
      <c r="C67" s="291">
        <f>SUM(C63:C66)</f>
        <v>13920</v>
      </c>
      <c r="D67" s="150"/>
    </row>
    <row r="68" spans="1:4" x14ac:dyDescent="0.2">
      <c r="A68" s="148"/>
      <c r="B68" s="152"/>
      <c r="C68" s="290"/>
      <c r="D68" s="150"/>
    </row>
    <row r="69" spans="1:4" x14ac:dyDescent="0.2">
      <c r="A69" s="148"/>
      <c r="B69" s="153"/>
      <c r="C69" s="194"/>
      <c r="D69" s="150"/>
    </row>
    <row r="70" spans="1:4" x14ac:dyDescent="0.2">
      <c r="A70" s="148" t="s">
        <v>101</v>
      </c>
      <c r="B70" s="150"/>
      <c r="C70" s="292"/>
      <c r="D70" s="150"/>
    </row>
    <row r="71" spans="1:4" x14ac:dyDescent="0.2">
      <c r="A71" s="148"/>
      <c r="B71" s="150"/>
      <c r="C71" s="292"/>
      <c r="D71" s="150"/>
    </row>
    <row r="72" spans="1:4" ht="24" x14ac:dyDescent="0.2">
      <c r="A72" s="209" t="s">
        <v>57</v>
      </c>
      <c r="B72" s="287" t="s">
        <v>171</v>
      </c>
      <c r="C72" s="287" t="s">
        <v>170</v>
      </c>
      <c r="D72" s="150"/>
    </row>
    <row r="73" spans="1:4" x14ac:dyDescent="0.2">
      <c r="A73" s="158" t="s">
        <v>174</v>
      </c>
      <c r="B73" s="194">
        <v>6000</v>
      </c>
      <c r="C73" s="194">
        <v>10000</v>
      </c>
      <c r="D73" s="150"/>
    </row>
    <row r="74" spans="1:4" x14ac:dyDescent="0.2">
      <c r="A74" s="158" t="s">
        <v>173</v>
      </c>
      <c r="B74" s="293">
        <v>0</v>
      </c>
      <c r="C74" s="194">
        <v>-4000</v>
      </c>
      <c r="D74" s="150"/>
    </row>
    <row r="75" spans="1:4" x14ac:dyDescent="0.2">
      <c r="A75" s="158" t="s">
        <v>60</v>
      </c>
      <c r="B75" s="194">
        <f>+'Income Sheet'!D14</f>
        <v>50390</v>
      </c>
      <c r="C75" s="194">
        <v>186559</v>
      </c>
      <c r="D75" s="150"/>
    </row>
    <row r="76" spans="1:4" x14ac:dyDescent="0.2">
      <c r="A76" s="158" t="s">
        <v>94</v>
      </c>
      <c r="B76" s="293">
        <v>-1422</v>
      </c>
      <c r="C76" s="293">
        <v>-1422</v>
      </c>
      <c r="D76" s="150"/>
    </row>
    <row r="77" spans="1:4" x14ac:dyDescent="0.2">
      <c r="A77" s="157" t="s">
        <v>61</v>
      </c>
      <c r="B77" s="195">
        <f>+'Income Sheet'!D15</f>
        <v>-47193</v>
      </c>
      <c r="C77" s="195">
        <v>-185137</v>
      </c>
      <c r="D77" s="150"/>
    </row>
    <row r="78" spans="1:4" x14ac:dyDescent="0.2">
      <c r="A78" s="159" t="s">
        <v>63</v>
      </c>
      <c r="B78" s="294">
        <f>SUM(B73:B77)</f>
        <v>7775</v>
      </c>
      <c r="C78" s="294">
        <f>SUM(C73:C77)</f>
        <v>6000</v>
      </c>
      <c r="D78" s="204"/>
    </row>
    <row r="79" spans="1:4" x14ac:dyDescent="0.2">
      <c r="A79" s="148"/>
      <c r="B79" s="150"/>
      <c r="C79" s="292"/>
    </row>
    <row r="80" spans="1:4" x14ac:dyDescent="0.2">
      <c r="A80" s="148" t="s">
        <v>175</v>
      </c>
      <c r="B80" s="150"/>
      <c r="C80" s="292"/>
    </row>
    <row r="81" spans="1:3" ht="24" x14ac:dyDescent="0.2">
      <c r="A81" s="157" t="s">
        <v>57</v>
      </c>
      <c r="B81" s="287" t="s">
        <v>171</v>
      </c>
      <c r="C81" s="287" t="s">
        <v>170</v>
      </c>
    </row>
    <row r="82" spans="1:3" x14ac:dyDescent="0.2">
      <c r="A82" s="158" t="s">
        <v>174</v>
      </c>
      <c r="B82" s="194">
        <v>939</v>
      </c>
      <c r="C82" s="194">
        <v>0</v>
      </c>
    </row>
    <row r="83" spans="1:3" x14ac:dyDescent="0.2">
      <c r="A83" s="158" t="s">
        <v>8</v>
      </c>
      <c r="B83" s="194">
        <f>+'Income Sheet'!D26</f>
        <v>11938</v>
      </c>
      <c r="C83" s="194">
        <v>25655</v>
      </c>
    </row>
    <row r="84" spans="1:3" x14ac:dyDescent="0.2">
      <c r="A84" s="157" t="s">
        <v>65</v>
      </c>
      <c r="B84" s="195">
        <f>+'Income Sheet'!D27</f>
        <v>-6295</v>
      </c>
      <c r="C84" s="195">
        <v>-24716</v>
      </c>
    </row>
    <row r="85" spans="1:3" x14ac:dyDescent="0.2">
      <c r="A85" s="159" t="s">
        <v>63</v>
      </c>
      <c r="B85" s="294">
        <f>SUM(B82:B84)</f>
        <v>6582</v>
      </c>
      <c r="C85" s="294">
        <f>SUM(C82:C84)</f>
        <v>939</v>
      </c>
    </row>
    <row r="86" spans="1:3" x14ac:dyDescent="0.2">
      <c r="A86" s="263"/>
      <c r="B86" s="264"/>
      <c r="C86" s="264"/>
    </row>
    <row r="87" spans="1:3" x14ac:dyDescent="0.2">
      <c r="A87" s="148" t="s">
        <v>64</v>
      </c>
      <c r="B87" s="292"/>
      <c r="C87" s="292"/>
    </row>
    <row r="88" spans="1:3" ht="24" x14ac:dyDescent="0.2">
      <c r="A88" s="157" t="s">
        <v>57</v>
      </c>
      <c r="B88" s="287" t="s">
        <v>171</v>
      </c>
      <c r="C88" s="287" t="s">
        <v>170</v>
      </c>
    </row>
    <row r="89" spans="1:3" x14ac:dyDescent="0.2">
      <c r="A89" s="158" t="s">
        <v>174</v>
      </c>
      <c r="B89" s="194">
        <v>641</v>
      </c>
      <c r="C89" s="194">
        <v>726</v>
      </c>
    </row>
    <row r="90" spans="1:3" x14ac:dyDescent="0.2">
      <c r="A90" s="158" t="s">
        <v>8</v>
      </c>
      <c r="B90" s="194">
        <f>+'Income Sheet'!D31</f>
        <v>1139</v>
      </c>
      <c r="C90" s="194">
        <v>3176</v>
      </c>
    </row>
    <row r="91" spans="1:3" x14ac:dyDescent="0.2">
      <c r="A91" s="157" t="s">
        <v>65</v>
      </c>
      <c r="B91" s="195">
        <f>+'Income Sheet'!D32</f>
        <v>-1131</v>
      </c>
      <c r="C91" s="195">
        <v>-3261</v>
      </c>
    </row>
    <row r="92" spans="1:3" x14ac:dyDescent="0.2">
      <c r="A92" s="159" t="s">
        <v>63</v>
      </c>
      <c r="B92" s="294">
        <f>SUM(B89:B91)</f>
        <v>649</v>
      </c>
      <c r="C92" s="294">
        <f>SUM(C89:C91)</f>
        <v>641</v>
      </c>
    </row>
    <row r="93" spans="1:3" x14ac:dyDescent="0.2">
      <c r="A93" s="145"/>
    </row>
    <row r="94" spans="1:3" x14ac:dyDescent="0.2">
      <c r="A94" s="145"/>
    </row>
    <row r="95" spans="1:3" x14ac:dyDescent="0.2">
      <c r="A95" s="146" t="s">
        <v>107</v>
      </c>
    </row>
    <row r="97" spans="1:5" x14ac:dyDescent="0.2">
      <c r="A97" s="148" t="s">
        <v>66</v>
      </c>
    </row>
    <row r="98" spans="1:5" x14ac:dyDescent="0.2">
      <c r="A98" s="145"/>
    </row>
    <row r="99" spans="1:5" ht="53.45" customHeight="1" x14ac:dyDescent="0.2">
      <c r="A99" s="307" t="s">
        <v>176</v>
      </c>
      <c r="B99" s="307"/>
      <c r="C99" s="307"/>
      <c r="D99" s="307"/>
      <c r="E99" s="307"/>
    </row>
    <row r="100" spans="1:5" x14ac:dyDescent="0.2">
      <c r="A100" s="145"/>
    </row>
    <row r="101" spans="1:5" x14ac:dyDescent="0.2">
      <c r="A101" s="196" t="s">
        <v>67</v>
      </c>
      <c r="B101" s="197"/>
      <c r="C101" s="197"/>
      <c r="D101" s="197"/>
      <c r="E101" s="197"/>
    </row>
    <row r="102" spans="1:5" ht="13.15" customHeight="1" x14ac:dyDescent="0.2">
      <c r="A102" s="198"/>
      <c r="B102" s="197"/>
      <c r="C102" s="197"/>
      <c r="D102" s="197"/>
      <c r="E102" s="197"/>
    </row>
    <row r="103" spans="1:5" ht="55.9" customHeight="1" x14ac:dyDescent="0.2">
      <c r="A103" s="307" t="s">
        <v>177</v>
      </c>
      <c r="B103" s="307"/>
      <c r="C103" s="307"/>
      <c r="D103" s="307"/>
      <c r="E103" s="307"/>
    </row>
    <row r="104" spans="1:5" s="197" customFormat="1" x14ac:dyDescent="0.2">
      <c r="A104" s="199"/>
      <c r="B104" s="199"/>
      <c r="C104" s="199"/>
      <c r="D104" s="199"/>
      <c r="E104" s="199"/>
    </row>
    <row r="105" spans="1:5" ht="12.75" customHeight="1" x14ac:dyDescent="0.2">
      <c r="A105" s="147"/>
      <c r="B105" s="147"/>
      <c r="C105" s="147"/>
      <c r="D105" s="147"/>
      <c r="E105" s="147"/>
    </row>
    <row r="106" spans="1:5" ht="12.75" customHeight="1" x14ac:dyDescent="0.2">
      <c r="A106" s="146"/>
      <c r="B106" s="147"/>
      <c r="C106" s="147"/>
      <c r="D106" s="147"/>
      <c r="E106" s="147"/>
    </row>
    <row r="107" spans="1:5" ht="12.75" customHeight="1" x14ac:dyDescent="0.2">
      <c r="A107" s="147"/>
      <c r="B107" s="147"/>
      <c r="C107" s="147"/>
      <c r="D107" s="147"/>
      <c r="E107" s="147"/>
    </row>
    <row r="108" spans="1:5" ht="12.75" customHeight="1" x14ac:dyDescent="0.2">
      <c r="A108" s="147"/>
      <c r="B108" s="147"/>
      <c r="C108" s="147"/>
      <c r="D108" s="147"/>
      <c r="E108" s="147"/>
    </row>
    <row r="109" spans="1:5" x14ac:dyDescent="0.2">
      <c r="A109" s="145"/>
    </row>
    <row r="110" spans="1:5" x14ac:dyDescent="0.2">
      <c r="A110" s="148" t="s">
        <v>193</v>
      </c>
    </row>
    <row r="111" spans="1:5" x14ac:dyDescent="0.2">
      <c r="A111" s="148"/>
    </row>
    <row r="112" spans="1:5" x14ac:dyDescent="0.2">
      <c r="A112" s="308" t="s">
        <v>189</v>
      </c>
      <c r="B112" s="308"/>
      <c r="C112" s="308"/>
      <c r="D112" s="308"/>
      <c r="E112" s="308"/>
    </row>
    <row r="113" spans="1:7" ht="60" x14ac:dyDescent="0.2">
      <c r="A113" s="161" t="s">
        <v>57</v>
      </c>
      <c r="B113" s="162" t="s">
        <v>68</v>
      </c>
      <c r="C113" s="162" t="s">
        <v>65</v>
      </c>
      <c r="D113" s="162" t="s">
        <v>69</v>
      </c>
      <c r="E113" s="162" t="s">
        <v>190</v>
      </c>
      <c r="F113" s="273" t="s">
        <v>192</v>
      </c>
    </row>
    <row r="114" spans="1:7" x14ac:dyDescent="0.2">
      <c r="A114" s="163"/>
      <c r="B114" s="167"/>
      <c r="C114" s="167"/>
      <c r="D114" s="167"/>
      <c r="E114" s="168"/>
      <c r="F114" s="168"/>
    </row>
    <row r="115" spans="1:7" x14ac:dyDescent="0.2">
      <c r="A115" s="163"/>
      <c r="B115" s="167" t="s">
        <v>3</v>
      </c>
      <c r="C115" s="167" t="s">
        <v>3</v>
      </c>
      <c r="D115" s="167" t="s">
        <v>3</v>
      </c>
      <c r="E115" s="168" t="s">
        <v>3</v>
      </c>
      <c r="F115" s="168" t="s">
        <v>3</v>
      </c>
    </row>
    <row r="116" spans="1:7" x14ac:dyDescent="0.2">
      <c r="A116" s="174" t="s">
        <v>184</v>
      </c>
      <c r="B116" s="298">
        <f>29445+561+183</f>
        <v>30189</v>
      </c>
      <c r="C116" s="298">
        <v>722</v>
      </c>
      <c r="D116" s="298">
        <v>600</v>
      </c>
      <c r="E116" s="298">
        <v>507</v>
      </c>
      <c r="F116" s="298">
        <f>SUM(B116:E116)</f>
        <v>32018</v>
      </c>
    </row>
    <row r="117" spans="1:7" x14ac:dyDescent="0.2">
      <c r="A117" s="160" t="s">
        <v>185</v>
      </c>
      <c r="B117" s="298">
        <v>3876</v>
      </c>
      <c r="C117" s="298">
        <v>240</v>
      </c>
      <c r="D117" s="298">
        <v>3454</v>
      </c>
      <c r="E117" s="298">
        <f>25613</f>
        <v>25613</v>
      </c>
      <c r="F117" s="298">
        <f t="shared" ref="F117:F121" si="0">SUM(B117:E117)</f>
        <v>33183</v>
      </c>
    </row>
    <row r="118" spans="1:7" x14ac:dyDescent="0.2">
      <c r="A118" s="144" t="s">
        <v>195</v>
      </c>
      <c r="B118" s="298">
        <f>8849+354</f>
        <v>9203</v>
      </c>
      <c r="C118" s="298">
        <v>169</v>
      </c>
      <c r="D118" s="298">
        <v>1369</v>
      </c>
      <c r="E118" s="298">
        <v>131</v>
      </c>
      <c r="F118" s="298">
        <f t="shared" si="0"/>
        <v>10872</v>
      </c>
    </row>
    <row r="119" spans="1:7" x14ac:dyDescent="0.2">
      <c r="A119" s="144" t="s">
        <v>72</v>
      </c>
      <c r="B119" s="298">
        <v>4515</v>
      </c>
      <c r="C119" s="298">
        <v>0</v>
      </c>
      <c r="D119" s="298">
        <v>861</v>
      </c>
      <c r="E119" s="298">
        <v>0</v>
      </c>
      <c r="F119" s="298">
        <f t="shared" si="0"/>
        <v>5376</v>
      </c>
      <c r="G119" s="272"/>
    </row>
    <row r="120" spans="1:7" x14ac:dyDescent="0.2">
      <c r="A120" s="144" t="s">
        <v>187</v>
      </c>
      <c r="B120" s="298">
        <v>506</v>
      </c>
      <c r="C120" s="298"/>
      <c r="D120" s="298">
        <v>11</v>
      </c>
      <c r="E120" s="298">
        <v>0</v>
      </c>
      <c r="F120" s="298">
        <f>SUM(B120:E120)</f>
        <v>517</v>
      </c>
    </row>
    <row r="121" spans="1:7" x14ac:dyDescent="0.2">
      <c r="A121" s="144" t="s">
        <v>188</v>
      </c>
      <c r="B121" s="298">
        <f>-SUM(561285+182510+353800)/1000</f>
        <v>-1097.595</v>
      </c>
      <c r="C121" s="298">
        <v>0</v>
      </c>
      <c r="D121" s="298">
        <v>0</v>
      </c>
      <c r="E121" s="298">
        <v>0</v>
      </c>
      <c r="F121" s="298">
        <f t="shared" si="0"/>
        <v>-1097.595</v>
      </c>
      <c r="G121" s="272"/>
    </row>
    <row r="122" spans="1:7" x14ac:dyDescent="0.2">
      <c r="A122" s="157"/>
      <c r="B122" s="169"/>
      <c r="C122" s="169"/>
      <c r="D122" s="169"/>
      <c r="E122" s="170"/>
    </row>
    <row r="123" spans="1:7" x14ac:dyDescent="0.2">
      <c r="A123" s="159" t="s">
        <v>73</v>
      </c>
      <c r="B123" s="171">
        <f>SUM(B116:B121)</f>
        <v>47191.404999999999</v>
      </c>
      <c r="C123" s="171">
        <f>SUM(C116:C121)</f>
        <v>1131</v>
      </c>
      <c r="D123" s="171">
        <f>SUM(D116:D121)</f>
        <v>6295</v>
      </c>
      <c r="E123" s="171">
        <f>SUM(E116:E121)</f>
        <v>26251</v>
      </c>
      <c r="F123" s="274">
        <f>SUM(F116:F121)</f>
        <v>80868.404999999999</v>
      </c>
    </row>
    <row r="124" spans="1:7" x14ac:dyDescent="0.2">
      <c r="A124" s="149"/>
      <c r="B124" s="297">
        <f>+B123-47193</f>
        <v>-1.5950000000011642</v>
      </c>
      <c r="E124" s="297">
        <f>+E123-26251</f>
        <v>0</v>
      </c>
    </row>
    <row r="125" spans="1:7" hidden="1" x14ac:dyDescent="0.2">
      <c r="A125" s="158" t="s">
        <v>191</v>
      </c>
    </row>
    <row r="126" spans="1:7" hidden="1" x14ac:dyDescent="0.2">
      <c r="A126" s="158"/>
    </row>
    <row r="127" spans="1:7" ht="60" hidden="1" x14ac:dyDescent="0.2">
      <c r="A127" s="161"/>
      <c r="B127" s="162" t="s">
        <v>68</v>
      </c>
      <c r="C127" s="162" t="s">
        <v>65</v>
      </c>
      <c r="D127" s="162" t="s">
        <v>69</v>
      </c>
      <c r="E127" s="162" t="s">
        <v>62</v>
      </c>
    </row>
    <row r="128" spans="1:7" hidden="1" x14ac:dyDescent="0.2">
      <c r="A128" s="163" t="s">
        <v>70</v>
      </c>
      <c r="B128" s="164">
        <v>2014</v>
      </c>
      <c r="C128" s="164">
        <v>2014</v>
      </c>
      <c r="D128" s="164">
        <v>2014</v>
      </c>
      <c r="E128" s="165">
        <v>2014</v>
      </c>
    </row>
    <row r="129" spans="1:5" hidden="1" x14ac:dyDescent="0.2">
      <c r="A129" s="163" t="s">
        <v>57</v>
      </c>
      <c r="B129" s="164" t="s">
        <v>3</v>
      </c>
      <c r="C129" s="164" t="s">
        <v>3</v>
      </c>
      <c r="D129" s="164" t="s">
        <v>3</v>
      </c>
      <c r="E129" s="165" t="s">
        <v>3</v>
      </c>
    </row>
    <row r="130" spans="1:5" hidden="1" x14ac:dyDescent="0.2">
      <c r="A130" s="174" t="s">
        <v>184</v>
      </c>
      <c r="B130" s="166">
        <v>29258</v>
      </c>
      <c r="C130" s="167">
        <v>521</v>
      </c>
      <c r="D130" s="167">
        <v>628</v>
      </c>
      <c r="E130" s="168" t="s">
        <v>71</v>
      </c>
    </row>
    <row r="131" spans="1:5" hidden="1" x14ac:dyDescent="0.2">
      <c r="A131" s="160" t="s">
        <v>185</v>
      </c>
      <c r="B131" s="166">
        <v>3495</v>
      </c>
      <c r="C131" s="167" t="s">
        <v>71</v>
      </c>
      <c r="D131" s="167">
        <v>184</v>
      </c>
      <c r="E131" s="168" t="s">
        <v>71</v>
      </c>
    </row>
    <row r="132" spans="1:5" hidden="1" x14ac:dyDescent="0.2">
      <c r="A132" s="144" t="s">
        <v>186</v>
      </c>
      <c r="B132" s="166">
        <v>2985</v>
      </c>
      <c r="C132" s="167">
        <v>108</v>
      </c>
      <c r="D132" s="166">
        <v>4312</v>
      </c>
      <c r="E132" s="168" t="s">
        <v>71</v>
      </c>
    </row>
    <row r="133" spans="1:5" hidden="1" x14ac:dyDescent="0.2">
      <c r="A133" s="144" t="s">
        <v>72</v>
      </c>
      <c r="B133" s="167">
        <v>763</v>
      </c>
      <c r="C133" s="167" t="s">
        <v>71</v>
      </c>
      <c r="D133" s="167">
        <v>5</v>
      </c>
      <c r="E133" s="168" t="s">
        <v>71</v>
      </c>
    </row>
    <row r="134" spans="1:5" hidden="1" x14ac:dyDescent="0.2">
      <c r="A134" s="144" t="s">
        <v>187</v>
      </c>
      <c r="B134" s="166">
        <v>4244</v>
      </c>
      <c r="C134" s="167">
        <v>32</v>
      </c>
      <c r="D134" s="167">
        <v>50</v>
      </c>
      <c r="E134" s="168" t="s">
        <v>71</v>
      </c>
    </row>
    <row r="135" spans="1:5" hidden="1" x14ac:dyDescent="0.2">
      <c r="A135" s="144" t="s">
        <v>188</v>
      </c>
      <c r="B135" s="166">
        <v>4265</v>
      </c>
      <c r="C135" s="167" t="s">
        <v>71</v>
      </c>
      <c r="D135" s="167">
        <v>977</v>
      </c>
      <c r="E135" s="168" t="s">
        <v>71</v>
      </c>
    </row>
    <row r="136" spans="1:5" hidden="1" x14ac:dyDescent="0.2">
      <c r="A136" s="157"/>
      <c r="B136" s="169">
        <v>404</v>
      </c>
      <c r="C136" s="169" t="s">
        <v>71</v>
      </c>
      <c r="D136" s="169">
        <v>324</v>
      </c>
      <c r="E136" s="170" t="s">
        <v>71</v>
      </c>
    </row>
    <row r="137" spans="1:5" hidden="1" x14ac:dyDescent="0.2">
      <c r="A137" s="159" t="s">
        <v>73</v>
      </c>
      <c r="B137" s="171">
        <v>45414</v>
      </c>
      <c r="C137" s="172">
        <v>661</v>
      </c>
      <c r="D137" s="171">
        <v>6480</v>
      </c>
      <c r="E137" s="173" t="s">
        <v>71</v>
      </c>
    </row>
    <row r="138" spans="1:5" hidden="1" x14ac:dyDescent="0.2">
      <c r="A138" s="160"/>
    </row>
    <row r="139" spans="1:5" x14ac:dyDescent="0.2">
      <c r="A139" s="295" t="s">
        <v>188</v>
      </c>
    </row>
    <row r="140" spans="1:5" x14ac:dyDescent="0.2">
      <c r="A140" s="295" t="s">
        <v>201</v>
      </c>
      <c r="B140" s="295">
        <v>183</v>
      </c>
    </row>
    <row r="141" spans="1:5" x14ac:dyDescent="0.2">
      <c r="A141" s="295" t="s">
        <v>201</v>
      </c>
      <c r="B141" s="295">
        <v>561</v>
      </c>
    </row>
    <row r="142" spans="1:5" x14ac:dyDescent="0.2">
      <c r="A142" s="295" t="s">
        <v>202</v>
      </c>
      <c r="B142" s="295">
        <v>354</v>
      </c>
    </row>
    <row r="143" spans="1:5" x14ac:dyDescent="0.2">
      <c r="A143" s="295"/>
      <c r="B143" s="296">
        <f>SUM(B140:B142)</f>
        <v>1098</v>
      </c>
    </row>
  </sheetData>
  <mergeCells count="12">
    <mergeCell ref="A8:E8"/>
    <mergeCell ref="A10:E10"/>
    <mergeCell ref="A99:E99"/>
    <mergeCell ref="A103:E103"/>
    <mergeCell ref="A112:E112"/>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2018-04-13T20:11:43Z</cp:lastPrinted>
  <dcterms:created xsi:type="dcterms:W3CDTF">2015-03-25T13:01:23Z</dcterms:created>
  <dcterms:modified xsi:type="dcterms:W3CDTF">2018-04-20T22:42:31Z</dcterms:modified>
</cp:coreProperties>
</file>