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408" windowWidth="19260" windowHeight="5580" tabRatio="851"/>
  </bookViews>
  <sheets>
    <sheet name="OPEB_Pension" sheetId="48" r:id="rId1"/>
    <sheet name="cap pension" sheetId="29" r:id="rId2"/>
    <sheet name="essincome (2)" sheetId="17" state="hidden" r:id="rId3"/>
    <sheet name="Cost recovery revenue" sheetId="18" state="hidden" r:id="rId4"/>
    <sheet name="Pension Notes" sheetId="37" state="hidden" r:id="rId5"/>
    <sheet name="esscusted" sheetId="10" state="hidden" r:id="rId6"/>
    <sheet name="pension" sheetId="22" r:id="rId7"/>
    <sheet name="essincome" sheetId="1" r:id="rId8"/>
    <sheet name="income" sheetId="7" r:id="rId9"/>
    <sheet name="essincome-SME" sheetId="42" r:id="rId10"/>
    <sheet name="income-SME" sheetId="43" r:id="rId11"/>
    <sheet name="essbal" sheetId="4" r:id="rId12"/>
    <sheet name="balance sheet" sheetId="3" r:id="rId13"/>
    <sheet name="Cashflow adj" sheetId="30" r:id="rId14"/>
    <sheet name="esscashflow" sheetId="5" state="hidden" r:id="rId15"/>
    <sheet name="cashflowGL" sheetId="49" r:id="rId16"/>
    <sheet name="cashflow" sheetId="50" r:id="rId17"/>
    <sheet name="FX calc" sheetId="28" state="hidden" r:id="rId18"/>
    <sheet name="Corp Adjustments" sheetId="51" r:id="rId19"/>
    <sheet name="Sheet1" sheetId="52" r:id="rId20"/>
  </sheets>
  <definedNames>
    <definedName name="EssAliasTable" localSheetId="1">"Default"</definedName>
    <definedName name="EssAliasTable" localSheetId="16">"Default"</definedName>
    <definedName name="EssAliasTable" localSheetId="15">"Default"</definedName>
    <definedName name="EssAliasTable" localSheetId="18">"Default"</definedName>
    <definedName name="EssAliasTable" localSheetId="3">"Default"</definedName>
    <definedName name="EssAliasTable" localSheetId="11">"Default"</definedName>
    <definedName name="EssAliasTable" localSheetId="14">"Default"</definedName>
    <definedName name="EssAliasTable" localSheetId="5">"Default"</definedName>
    <definedName name="EssAliasTable" localSheetId="7">"Default"</definedName>
    <definedName name="EssAliasTable" localSheetId="2">"Default"</definedName>
    <definedName name="EssAliasTable" localSheetId="9">"Default"</definedName>
    <definedName name="EssAliasTable" localSheetId="0">"Default"</definedName>
    <definedName name="EssAliasTable" localSheetId="6">"Default"</definedName>
    <definedName name="EssAliasTable" localSheetId="4">"Default"</definedName>
    <definedName name="EssLatest" localSheetId="1">"Beginning Balance"</definedName>
    <definedName name="EssLatest" localSheetId="15">"Beginning Balance"</definedName>
    <definedName name="EssLatest" localSheetId="18">"Beginning Balance"</definedName>
    <definedName name="EssLatest" localSheetId="3">"Beginning Balance"</definedName>
    <definedName name="EssLatest" localSheetId="11">"Beginning Balance"</definedName>
    <definedName name="EssLatest" localSheetId="14">"Beginning Balance"</definedName>
    <definedName name="EssLatest" localSheetId="5">"Beginning Balance"</definedName>
    <definedName name="EssLatest" localSheetId="7">"Beginning Balance"</definedName>
    <definedName name="EssLatest" localSheetId="2">"Beginning Balance"</definedName>
    <definedName name="EssLatest" localSheetId="9">"Beginning Balance"</definedName>
    <definedName name="EssLatest" localSheetId="0">"Beginning Balance"</definedName>
    <definedName name="EssLatest" localSheetId="6">"Beginning Balance"</definedName>
    <definedName name="EssLatest" localSheetId="4">"Beginning Balance"</definedName>
    <definedName name="EssOptions" localSheetId="1">"A3100000000130000000001100020_010020-"</definedName>
    <definedName name="EssOptions" localSheetId="16">"A1100001100130000000001100000_010010"</definedName>
    <definedName name="EssOptions" localSheetId="15">"A3100000000130000000001100020_010020-"</definedName>
    <definedName name="EssOptions" localSheetId="18">"A3100001100130000000001100020_010020-"</definedName>
    <definedName name="EssOptions" localSheetId="3">"A1100000000110000000001100020_010010"</definedName>
    <definedName name="EssOptions" localSheetId="11">"A1100000000110000000001100020_010020-"</definedName>
    <definedName name="EssOptions" localSheetId="14">"A1100000000110000000001100020_010010"</definedName>
    <definedName name="EssOptions" localSheetId="5">"A1100000000110000000001100020_010010"</definedName>
    <definedName name="EssOptions" localSheetId="7">"A1100000000110000000001100020_010010"</definedName>
    <definedName name="EssOptions" localSheetId="2">"A1100001000110000000001100020_010010"</definedName>
    <definedName name="EssOptions" localSheetId="9">"A1100000000110000000001100020_010010"</definedName>
    <definedName name="EssOptions" localSheetId="0">"A3100000000130000000001100020_01000"</definedName>
    <definedName name="EssOptions" localSheetId="6">"A3100000000130000000001100020_010020-"</definedName>
    <definedName name="EssOptions" localSheetId="4">"A1100000000110000000001100020_010020-"</definedName>
    <definedName name="EssSamplingValue" localSheetId="15">100</definedName>
    <definedName name="EssSamplingValue" localSheetId="18">100</definedName>
    <definedName name="EssSamplingValue" localSheetId="3">100</definedName>
    <definedName name="EssSamplingValue" localSheetId="11">100</definedName>
    <definedName name="EssSamplingValue" localSheetId="14">100</definedName>
    <definedName name="EssSamplingValue" localSheetId="5">100</definedName>
    <definedName name="EssSamplingValue" localSheetId="7">100</definedName>
    <definedName name="EssSamplingValue" localSheetId="2">100</definedName>
    <definedName name="EssSamplingValue" localSheetId="9">100</definedName>
    <definedName name="EssSamplingValue" localSheetId="0">100</definedName>
    <definedName name="EssSamplingValue" localSheetId="4">100</definedName>
    <definedName name="_xlnm.Print_Area" localSheetId="15">cashflowGL!$L$1:$U$48</definedName>
    <definedName name="_xlnm.Print_Area" localSheetId="11">essbal!$A$1:$J$49</definedName>
    <definedName name="_xlnm.Print_Area" localSheetId="7">essincome!$A$16:$J$29</definedName>
    <definedName name="_xlnm.Print_Area" localSheetId="8">income!$A$1:$L$43</definedName>
    <definedName name="_xlnm.Print_Area" localSheetId="10">'income-SME'!$A$1:$K$28</definedName>
    <definedName name="_xlnm.Print_Area" localSheetId="6">pension!$C$40:$J$46</definedName>
  </definedNames>
  <calcPr calcId="145621"/>
</workbook>
</file>

<file path=xl/calcChain.xml><?xml version="1.0" encoding="utf-8"?>
<calcChain xmlns="http://schemas.openxmlformats.org/spreadsheetml/2006/main">
  <c r="G37" i="22" l="1"/>
  <c r="B33" i="3" l="1"/>
  <c r="F133" i="1" l="1"/>
  <c r="J90" i="1"/>
  <c r="I90" i="1"/>
  <c r="G90" i="1"/>
  <c r="F90" i="1"/>
  <c r="D90" i="1"/>
  <c r="C90" i="1"/>
  <c r="J89" i="1"/>
  <c r="I89" i="1"/>
  <c r="G89" i="1"/>
  <c r="F89" i="1"/>
  <c r="D89" i="1"/>
  <c r="C89" i="1"/>
  <c r="J88" i="1"/>
  <c r="I88" i="1"/>
  <c r="G88" i="1"/>
  <c r="F88" i="1"/>
  <c r="D88" i="1"/>
  <c r="C88" i="1"/>
  <c r="F87" i="1"/>
  <c r="C87" i="1"/>
  <c r="J86" i="1"/>
  <c r="I86" i="1"/>
  <c r="G86" i="1"/>
  <c r="F86" i="1"/>
  <c r="D86" i="1"/>
  <c r="C86" i="1"/>
  <c r="J85" i="1"/>
  <c r="I85" i="1"/>
  <c r="G85" i="1"/>
  <c r="F85" i="1"/>
  <c r="D85" i="1"/>
  <c r="C85" i="1"/>
  <c r="J84" i="1"/>
  <c r="I84" i="1"/>
  <c r="G84" i="1"/>
  <c r="F84" i="1"/>
  <c r="D84" i="1"/>
  <c r="C84" i="1"/>
  <c r="J56" i="1"/>
  <c r="I56" i="1"/>
  <c r="G56" i="1"/>
  <c r="F56" i="1"/>
  <c r="D56" i="1"/>
  <c r="C56" i="1"/>
  <c r="F45" i="1"/>
  <c r="C45" i="1"/>
  <c r="J43" i="1"/>
  <c r="I43" i="1"/>
  <c r="G43" i="1"/>
  <c r="F43" i="1"/>
  <c r="D43" i="1"/>
  <c r="C43" i="1"/>
  <c r="J42" i="1"/>
  <c r="I42" i="1"/>
  <c r="G42" i="1"/>
  <c r="F42" i="1"/>
  <c r="D42" i="1"/>
  <c r="C42" i="1"/>
  <c r="I45" i="1" l="1"/>
  <c r="D91" i="1"/>
  <c r="G91" i="1"/>
  <c r="J91" i="1"/>
  <c r="G45" i="1"/>
  <c r="F91" i="1"/>
  <c r="C91" i="1"/>
  <c r="I91" i="1"/>
  <c r="D45" i="1"/>
  <c r="J45" i="1"/>
  <c r="I27" i="3" l="1"/>
  <c r="F26" i="3"/>
  <c r="E26" i="3"/>
  <c r="C26" i="3"/>
  <c r="B26" i="3"/>
  <c r="J26" i="3" s="1"/>
  <c r="D26" i="3" l="1"/>
  <c r="G26" i="3"/>
  <c r="M18" i="49"/>
  <c r="B21" i="50" s="1"/>
  <c r="T18" i="49"/>
  <c r="I21" i="50" s="1"/>
  <c r="S18" i="49"/>
  <c r="H21" i="50" s="1"/>
  <c r="Q18" i="49"/>
  <c r="F21" i="50" s="1"/>
  <c r="P18" i="49"/>
  <c r="E21" i="50" s="1"/>
  <c r="N18" i="49"/>
  <c r="C21" i="50" s="1"/>
  <c r="J21" i="50" l="1"/>
  <c r="G21" i="50"/>
  <c r="I16" i="3" l="1"/>
  <c r="I15" i="3"/>
  <c r="K27" i="42" l="1"/>
  <c r="J27" i="42"/>
  <c r="H27" i="42"/>
  <c r="G27" i="42"/>
  <c r="E27" i="42"/>
  <c r="D27" i="42"/>
  <c r="K26" i="42"/>
  <c r="J26" i="42"/>
  <c r="H26" i="42"/>
  <c r="G26" i="42"/>
  <c r="E26" i="42"/>
  <c r="D26" i="42"/>
  <c r="K25" i="42"/>
  <c r="J25" i="42"/>
  <c r="H25" i="42"/>
  <c r="G25" i="42"/>
  <c r="E25" i="42"/>
  <c r="D25" i="42"/>
  <c r="K24" i="42"/>
  <c r="J24" i="42"/>
  <c r="H24" i="42"/>
  <c r="G24" i="42"/>
  <c r="E24" i="42"/>
  <c r="D24" i="42"/>
  <c r="K20" i="42"/>
  <c r="K21" i="42" s="1"/>
  <c r="J20" i="42"/>
  <c r="J21" i="42" s="1"/>
  <c r="H20" i="42"/>
  <c r="H21" i="42" s="1"/>
  <c r="G20" i="42"/>
  <c r="G21" i="42" s="1"/>
  <c r="E20" i="42"/>
  <c r="E21" i="42" s="1"/>
  <c r="D20" i="42"/>
  <c r="D21" i="42" s="1"/>
  <c r="E28" i="42" l="1"/>
  <c r="E30" i="42" s="1"/>
  <c r="G28" i="42"/>
  <c r="G30" i="42" s="1"/>
  <c r="K28" i="42"/>
  <c r="K30" i="42" s="1"/>
  <c r="D28" i="42"/>
  <c r="D30" i="42" s="1"/>
  <c r="J28" i="42"/>
  <c r="J30" i="42" s="1"/>
  <c r="H28" i="42"/>
  <c r="H30" i="42" s="1"/>
  <c r="E14" i="7"/>
  <c r="G14" i="7" s="1"/>
  <c r="B19" i="7" l="1"/>
  <c r="B18" i="7"/>
  <c r="T8" i="49" l="1"/>
  <c r="S8" i="49"/>
  <c r="Q8" i="49"/>
  <c r="P8" i="49"/>
  <c r="N8" i="49"/>
  <c r="M8" i="49"/>
  <c r="Q7" i="49"/>
  <c r="P7" i="49"/>
  <c r="M7" i="49"/>
  <c r="E32" i="22" l="1"/>
  <c r="D32" i="22"/>
  <c r="C51" i="50" l="1"/>
  <c r="G57" i="4" l="1"/>
  <c r="G59" i="4" s="1"/>
  <c r="D57" i="4"/>
  <c r="D58" i="4" s="1"/>
  <c r="S52" i="4"/>
  <c r="M52" i="4"/>
  <c r="S51" i="4"/>
  <c r="M51" i="4"/>
  <c r="S50" i="4"/>
  <c r="M50" i="4"/>
  <c r="S49" i="4"/>
  <c r="M49" i="4"/>
  <c r="S48" i="4"/>
  <c r="S47" i="4"/>
  <c r="S46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I51" i="50" l="1"/>
  <c r="H51" i="50"/>
  <c r="F51" i="50"/>
  <c r="E51" i="50"/>
  <c r="B51" i="50"/>
  <c r="I11" i="50"/>
  <c r="H11" i="50"/>
  <c r="F11" i="50"/>
  <c r="C11" i="50"/>
  <c r="E11" i="50"/>
  <c r="L43" i="3" s="1"/>
  <c r="B11" i="50"/>
  <c r="J30" i="50" l="1"/>
  <c r="G30" i="50"/>
  <c r="D30" i="50"/>
  <c r="J29" i="50"/>
  <c r="G29" i="50"/>
  <c r="D29" i="50"/>
  <c r="G11" i="50"/>
  <c r="D11" i="50"/>
  <c r="J109" i="49"/>
  <c r="P104" i="49"/>
  <c r="P103" i="49"/>
  <c r="H103" i="49"/>
  <c r="H108" i="49" s="1"/>
  <c r="N93" i="49"/>
  <c r="M93" i="49"/>
  <c r="L93" i="49"/>
  <c r="K93" i="49"/>
  <c r="J93" i="49"/>
  <c r="I93" i="49"/>
  <c r="H93" i="49"/>
  <c r="G93" i="49"/>
  <c r="F93" i="49"/>
  <c r="E93" i="49"/>
  <c r="D93" i="49"/>
  <c r="C93" i="49"/>
  <c r="B93" i="49"/>
  <c r="B76" i="49"/>
  <c r="C76" i="49" s="1"/>
  <c r="C75" i="49"/>
  <c r="B74" i="49"/>
  <c r="C74" i="49" s="1"/>
  <c r="C73" i="49"/>
  <c r="C72" i="49"/>
  <c r="C71" i="49"/>
  <c r="C70" i="49"/>
  <c r="E69" i="49"/>
  <c r="C69" i="49"/>
  <c r="T48" i="49"/>
  <c r="S48" i="49"/>
  <c r="Q48" i="49"/>
  <c r="P48" i="49"/>
  <c r="N48" i="49"/>
  <c r="M48" i="49"/>
  <c r="T44" i="49"/>
  <c r="I44" i="50" s="1"/>
  <c r="S44" i="49"/>
  <c r="H44" i="50" s="1"/>
  <c r="Q44" i="49"/>
  <c r="F44" i="50" s="1"/>
  <c r="P44" i="49"/>
  <c r="E44" i="50" s="1"/>
  <c r="N44" i="49"/>
  <c r="C44" i="50" s="1"/>
  <c r="M44" i="49"/>
  <c r="B44" i="50" s="1"/>
  <c r="T43" i="49"/>
  <c r="I43" i="50" s="1"/>
  <c r="S43" i="49"/>
  <c r="H43" i="50" s="1"/>
  <c r="Q43" i="49"/>
  <c r="F43" i="50" s="1"/>
  <c r="P43" i="49"/>
  <c r="E43" i="50" s="1"/>
  <c r="L33" i="3" s="1"/>
  <c r="N43" i="49"/>
  <c r="C43" i="50" s="1"/>
  <c r="M43" i="49"/>
  <c r="B43" i="50" s="1"/>
  <c r="T42" i="49"/>
  <c r="S42" i="49"/>
  <c r="H42" i="50" s="1"/>
  <c r="Q42" i="49"/>
  <c r="F42" i="50" s="1"/>
  <c r="P42" i="49"/>
  <c r="E42" i="50" s="1"/>
  <c r="N42" i="49"/>
  <c r="M42" i="49"/>
  <c r="B42" i="50" s="1"/>
  <c r="T38" i="49"/>
  <c r="I37" i="50" s="1"/>
  <c r="S38" i="49"/>
  <c r="H37" i="50" s="1"/>
  <c r="Q38" i="49"/>
  <c r="F37" i="50" s="1"/>
  <c r="P38" i="49"/>
  <c r="E37" i="50" s="1"/>
  <c r="L15" i="3" s="1"/>
  <c r="N38" i="49"/>
  <c r="C37" i="50" s="1"/>
  <c r="M38" i="49"/>
  <c r="B37" i="50" s="1"/>
  <c r="T37" i="49"/>
  <c r="I36" i="50" s="1"/>
  <c r="S37" i="49"/>
  <c r="H36" i="50" s="1"/>
  <c r="Q37" i="49"/>
  <c r="F36" i="50" s="1"/>
  <c r="P37" i="49"/>
  <c r="E36" i="50" s="1"/>
  <c r="N37" i="49"/>
  <c r="C36" i="50" s="1"/>
  <c r="M37" i="49"/>
  <c r="B36" i="50" s="1"/>
  <c r="T27" i="49"/>
  <c r="I26" i="50" s="1"/>
  <c r="S27" i="49"/>
  <c r="H26" i="50" s="1"/>
  <c r="Q27" i="49"/>
  <c r="F26" i="50" s="1"/>
  <c r="P27" i="49"/>
  <c r="E26" i="50" s="1"/>
  <c r="L10" i="3" s="1"/>
  <c r="N27" i="49"/>
  <c r="C26" i="50" s="1"/>
  <c r="M27" i="49"/>
  <c r="B26" i="50" s="1"/>
  <c r="T26" i="49"/>
  <c r="I25" i="50" s="1"/>
  <c r="S26" i="49"/>
  <c r="H25" i="50" s="1"/>
  <c r="Q26" i="49"/>
  <c r="F25" i="50" s="1"/>
  <c r="P26" i="49"/>
  <c r="E25" i="50" s="1"/>
  <c r="N26" i="49"/>
  <c r="C25" i="50" s="1"/>
  <c r="M26" i="49"/>
  <c r="B25" i="50" s="1"/>
  <c r="T25" i="49"/>
  <c r="I24" i="50" s="1"/>
  <c r="S25" i="49"/>
  <c r="H24" i="50" s="1"/>
  <c r="Q25" i="49"/>
  <c r="F24" i="50" s="1"/>
  <c r="P25" i="49"/>
  <c r="E24" i="50" s="1"/>
  <c r="L34" i="3" s="1"/>
  <c r="N25" i="49"/>
  <c r="C24" i="50" s="1"/>
  <c r="M25" i="49"/>
  <c r="B24" i="50" s="1"/>
  <c r="T24" i="49"/>
  <c r="I23" i="50" s="1"/>
  <c r="S24" i="49"/>
  <c r="H23" i="50" s="1"/>
  <c r="Q24" i="49"/>
  <c r="F23" i="50" s="1"/>
  <c r="P24" i="49"/>
  <c r="E23" i="50" s="1"/>
  <c r="N24" i="49"/>
  <c r="C23" i="50" s="1"/>
  <c r="M24" i="49"/>
  <c r="B23" i="50" s="1"/>
  <c r="T22" i="49"/>
  <c r="S22" i="49"/>
  <c r="Q22" i="49"/>
  <c r="P22" i="49"/>
  <c r="N22" i="49"/>
  <c r="M22" i="49"/>
  <c r="T21" i="49"/>
  <c r="S21" i="49"/>
  <c r="Q21" i="49"/>
  <c r="P21" i="49"/>
  <c r="N21" i="49"/>
  <c r="M21" i="49"/>
  <c r="T20" i="49"/>
  <c r="S20" i="49"/>
  <c r="Q20" i="49"/>
  <c r="P20" i="49"/>
  <c r="N20" i="49"/>
  <c r="M20" i="49"/>
  <c r="T19" i="49"/>
  <c r="S19" i="49"/>
  <c r="Q19" i="49"/>
  <c r="P19" i="49"/>
  <c r="N19" i="49"/>
  <c r="M19" i="49"/>
  <c r="T15" i="49"/>
  <c r="S15" i="49"/>
  <c r="Q15" i="49"/>
  <c r="P15" i="49"/>
  <c r="N15" i="49"/>
  <c r="M15" i="49"/>
  <c r="T14" i="49"/>
  <c r="I17" i="50" s="1"/>
  <c r="S14" i="49"/>
  <c r="H17" i="50" s="1"/>
  <c r="Q14" i="49"/>
  <c r="F17" i="50" s="1"/>
  <c r="P14" i="49"/>
  <c r="E17" i="50" s="1"/>
  <c r="N14" i="49"/>
  <c r="C17" i="50" s="1"/>
  <c r="M14" i="49"/>
  <c r="B17" i="50" s="1"/>
  <c r="T13" i="49"/>
  <c r="I16" i="50" s="1"/>
  <c r="S13" i="49"/>
  <c r="H16" i="50" s="1"/>
  <c r="Q13" i="49"/>
  <c r="F16" i="50" s="1"/>
  <c r="P13" i="49"/>
  <c r="E16" i="50" s="1"/>
  <c r="L36" i="3" s="1"/>
  <c r="N13" i="49"/>
  <c r="C16" i="50" s="1"/>
  <c r="M13" i="49"/>
  <c r="B16" i="50" s="1"/>
  <c r="T12" i="49"/>
  <c r="I15" i="50" s="1"/>
  <c r="S12" i="49"/>
  <c r="H15" i="50" s="1"/>
  <c r="Q12" i="49"/>
  <c r="F15" i="50" s="1"/>
  <c r="P12" i="49"/>
  <c r="E15" i="50" s="1"/>
  <c r="N12" i="49"/>
  <c r="C15" i="50" s="1"/>
  <c r="M12" i="49"/>
  <c r="B15" i="50" s="1"/>
  <c r="D21" i="50" l="1"/>
  <c r="B38" i="50"/>
  <c r="H38" i="50"/>
  <c r="B45" i="50"/>
  <c r="H45" i="50"/>
  <c r="H46" i="50" s="1"/>
  <c r="I38" i="50"/>
  <c r="T23" i="49"/>
  <c r="I22" i="50" s="1"/>
  <c r="C38" i="50"/>
  <c r="J36" i="50"/>
  <c r="D15" i="50"/>
  <c r="D17" i="50"/>
  <c r="J17" i="50"/>
  <c r="D23" i="50"/>
  <c r="J23" i="50"/>
  <c r="D25" i="50"/>
  <c r="J25" i="50"/>
  <c r="N23" i="49"/>
  <c r="C22" i="50" s="1"/>
  <c r="G25" i="50"/>
  <c r="D26" i="50"/>
  <c r="L21" i="3"/>
  <c r="E38" i="50"/>
  <c r="F38" i="50"/>
  <c r="F45" i="50"/>
  <c r="F46" i="50" s="1"/>
  <c r="G15" i="50"/>
  <c r="L16" i="3"/>
  <c r="J16" i="50"/>
  <c r="G17" i="50"/>
  <c r="L37" i="3"/>
  <c r="G23" i="50"/>
  <c r="L35" i="3"/>
  <c r="Q36" i="49"/>
  <c r="F18" i="50"/>
  <c r="N45" i="49"/>
  <c r="C42" i="50"/>
  <c r="C45" i="50" s="1"/>
  <c r="C46" i="50" s="1"/>
  <c r="T45" i="49"/>
  <c r="I42" i="50"/>
  <c r="I45" i="50" s="1"/>
  <c r="I46" i="50" s="1"/>
  <c r="J37" i="50"/>
  <c r="M36" i="49"/>
  <c r="B35" i="50" s="1"/>
  <c r="B18" i="50"/>
  <c r="S36" i="49"/>
  <c r="H35" i="50" s="1"/>
  <c r="H18" i="50"/>
  <c r="N36" i="49"/>
  <c r="C18" i="50"/>
  <c r="T36" i="49"/>
  <c r="I18" i="50"/>
  <c r="P36" i="49"/>
  <c r="E18" i="50"/>
  <c r="P45" i="49"/>
  <c r="M45" i="49"/>
  <c r="S45" i="49"/>
  <c r="G26" i="50"/>
  <c r="E45" i="50"/>
  <c r="E46" i="50" s="1"/>
  <c r="L11" i="3"/>
  <c r="D16" i="50"/>
  <c r="G24" i="50"/>
  <c r="J26" i="50"/>
  <c r="G37" i="50"/>
  <c r="J15" i="50"/>
  <c r="G16" i="50"/>
  <c r="D24" i="50"/>
  <c r="J24" i="50"/>
  <c r="D37" i="50"/>
  <c r="M23" i="49"/>
  <c r="B22" i="50" s="1"/>
  <c r="S23" i="49"/>
  <c r="H22" i="50" s="1"/>
  <c r="Q45" i="49"/>
  <c r="P23" i="49"/>
  <c r="Q23" i="49"/>
  <c r="F22" i="50" s="1"/>
  <c r="B46" i="50"/>
  <c r="G36" i="50"/>
  <c r="J51" i="50"/>
  <c r="J11" i="50"/>
  <c r="D36" i="50"/>
  <c r="G51" i="50"/>
  <c r="D51" i="50"/>
  <c r="D38" i="50" l="1"/>
  <c r="J45" i="50"/>
  <c r="J46" i="50" s="1"/>
  <c r="G18" i="50"/>
  <c r="J18" i="50"/>
  <c r="H39" i="50"/>
  <c r="E22" i="50"/>
  <c r="B39" i="50"/>
  <c r="S39" i="49"/>
  <c r="P39" i="49"/>
  <c r="E35" i="50"/>
  <c r="L25" i="3" s="1"/>
  <c r="D45" i="50"/>
  <c r="D46" i="50" s="1"/>
  <c r="J22" i="50"/>
  <c r="M39" i="49"/>
  <c r="T39" i="49"/>
  <c r="I35" i="50"/>
  <c r="I39" i="50" s="1"/>
  <c r="N39" i="49"/>
  <c r="C35" i="50"/>
  <c r="C39" i="50" s="1"/>
  <c r="D22" i="50"/>
  <c r="D18" i="50"/>
  <c r="Q39" i="49"/>
  <c r="F35" i="50"/>
  <c r="F39" i="50" s="1"/>
  <c r="G45" i="50"/>
  <c r="G46" i="50" s="1"/>
  <c r="J38" i="50"/>
  <c r="J35" i="50" l="1"/>
  <c r="J39" i="50" s="1"/>
  <c r="G35" i="50"/>
  <c r="D35" i="50"/>
  <c r="D39" i="50" s="1"/>
  <c r="D37" i="48" l="1"/>
  <c r="C27" i="48"/>
  <c r="G26" i="48"/>
  <c r="D25" i="48"/>
  <c r="D27" i="48" s="1"/>
  <c r="B25" i="48"/>
  <c r="B27" i="48" s="1"/>
  <c r="E24" i="48"/>
  <c r="F23" i="48"/>
  <c r="G23" i="48" s="1"/>
  <c r="E23" i="48"/>
  <c r="E22" i="48"/>
  <c r="F22" i="48" s="1"/>
  <c r="G22" i="48" s="1"/>
  <c r="F21" i="48"/>
  <c r="E21" i="48"/>
  <c r="C35" i="48" s="1"/>
  <c r="E35" i="48" l="1"/>
  <c r="C36" i="48"/>
  <c r="E36" i="48" s="1"/>
  <c r="F36" i="48" s="1"/>
  <c r="G36" i="48" s="1"/>
  <c r="H36" i="48" s="1"/>
  <c r="I36" i="48" s="1"/>
  <c r="J36" i="48" s="1"/>
  <c r="K36" i="48" s="1"/>
  <c r="L36" i="48" s="1"/>
  <c r="M36" i="48" s="1"/>
  <c r="N36" i="48" s="1"/>
  <c r="O36" i="48" s="1"/>
  <c r="P36" i="48" s="1"/>
  <c r="Q36" i="48" s="1"/>
  <c r="Q37" i="48" s="1"/>
  <c r="G21" i="48"/>
  <c r="F24" i="48"/>
  <c r="F25" i="48" s="1"/>
  <c r="F27" i="48" s="1"/>
  <c r="E25" i="48"/>
  <c r="J44" i="3"/>
  <c r="G25" i="48" l="1"/>
  <c r="E27" i="48"/>
  <c r="G27" i="48" s="1"/>
  <c r="G24" i="48"/>
  <c r="F35" i="48"/>
  <c r="E37" i="48"/>
  <c r="C37" i="48"/>
  <c r="E11" i="7"/>
  <c r="G35" i="48" l="1"/>
  <c r="F37" i="48"/>
  <c r="D55" i="3"/>
  <c r="C54" i="3"/>
  <c r="H35" i="48" l="1"/>
  <c r="G37" i="48"/>
  <c r="F55" i="3"/>
  <c r="H32" i="22"/>
  <c r="G32" i="22"/>
  <c r="L30" i="22"/>
  <c r="K30" i="22"/>
  <c r="J30" i="22"/>
  <c r="H30" i="22"/>
  <c r="E30" i="22"/>
  <c r="G28" i="22"/>
  <c r="G30" i="22" s="1"/>
  <c r="F28" i="22"/>
  <c r="D28" i="22"/>
  <c r="D30" i="22" s="1"/>
  <c r="L26" i="22"/>
  <c r="L28" i="22" s="1"/>
  <c r="K26" i="22"/>
  <c r="K28" i="22" s="1"/>
  <c r="J26" i="22"/>
  <c r="J28" i="22" s="1"/>
  <c r="H26" i="22"/>
  <c r="H28" i="22" s="1"/>
  <c r="G26" i="22"/>
  <c r="E26" i="22"/>
  <c r="E28" i="22" s="1"/>
  <c r="D26" i="22"/>
  <c r="G33" i="22" l="1"/>
  <c r="G39" i="22" s="1"/>
  <c r="H37" i="48"/>
  <c r="I35" i="48"/>
  <c r="H35" i="22"/>
  <c r="E35" i="22"/>
  <c r="E33" i="22"/>
  <c r="D33" i="22"/>
  <c r="D35" i="22"/>
  <c r="G35" i="22"/>
  <c r="H33" i="22"/>
  <c r="E19" i="7"/>
  <c r="E58" i="3"/>
  <c r="B14" i="7"/>
  <c r="D14" i="7" s="1"/>
  <c r="H44" i="22" l="1"/>
  <c r="H43" i="22"/>
  <c r="J35" i="48"/>
  <c r="I37" i="48"/>
  <c r="E18" i="7"/>
  <c r="K35" i="48" l="1"/>
  <c r="J37" i="48"/>
  <c r="L35" i="48" l="1"/>
  <c r="K37" i="48"/>
  <c r="L37" i="48" l="1"/>
  <c r="M35" i="48"/>
  <c r="N35" i="48" l="1"/>
  <c r="M37" i="48"/>
  <c r="O35" i="48" l="1"/>
  <c r="N37" i="48"/>
  <c r="P35" i="48" l="1"/>
  <c r="P37" i="48" s="1"/>
  <c r="O37" i="48"/>
  <c r="C57" i="3" l="1"/>
  <c r="C70" i="3" l="1"/>
  <c r="C66" i="3"/>
  <c r="C65" i="3"/>
  <c r="C72" i="3" l="1"/>
  <c r="C67" i="3"/>
  <c r="C56" i="3"/>
  <c r="C59" i="3" l="1"/>
  <c r="C58" i="3"/>
  <c r="C60" i="3" s="1"/>
  <c r="H34" i="7" l="1"/>
  <c r="J34" i="7" s="1"/>
  <c r="F40" i="3"/>
  <c r="C40" i="3"/>
  <c r="E40" i="3"/>
  <c r="B40" i="3"/>
  <c r="B54" i="3" s="1"/>
  <c r="F45" i="3"/>
  <c r="E45" i="3"/>
  <c r="C45" i="3"/>
  <c r="B45" i="3"/>
  <c r="B59" i="3" s="1"/>
  <c r="D59" i="3" s="1"/>
  <c r="F43" i="3"/>
  <c r="E43" i="3"/>
  <c r="C43" i="3"/>
  <c r="B43" i="3"/>
  <c r="B58" i="3" s="1"/>
  <c r="D58" i="3" s="1"/>
  <c r="F58" i="3" s="1"/>
  <c r="E59" i="3"/>
  <c r="B34" i="7"/>
  <c r="D34" i="7" s="1"/>
  <c r="F59" i="3" l="1"/>
  <c r="D54" i="3"/>
  <c r="G34" i="7"/>
  <c r="G43" i="3"/>
  <c r="D43" i="3"/>
  <c r="J43" i="3"/>
  <c r="B12" i="30" l="1"/>
  <c r="B5" i="30"/>
  <c r="I38" i="3" l="1"/>
  <c r="I19" i="3"/>
  <c r="I22" i="3" s="1"/>
  <c r="I12" i="3"/>
  <c r="I28" i="3" l="1"/>
  <c r="I46" i="3"/>
  <c r="I48" i="3" s="1"/>
  <c r="C36" i="3" l="1"/>
  <c r="E42" i="3" l="1"/>
  <c r="E41" i="3"/>
  <c r="E37" i="3"/>
  <c r="E36" i="3"/>
  <c r="E35" i="3"/>
  <c r="E34" i="3"/>
  <c r="E33" i="3"/>
  <c r="E32" i="3"/>
  <c r="E25" i="3"/>
  <c r="E27" i="3" s="1"/>
  <c r="E21" i="3"/>
  <c r="E20" i="3"/>
  <c r="E18" i="3"/>
  <c r="E17" i="3"/>
  <c r="E11" i="3"/>
  <c r="E10" i="3"/>
  <c r="E9" i="3"/>
  <c r="F42" i="3"/>
  <c r="F41" i="3"/>
  <c r="F37" i="3"/>
  <c r="F36" i="3"/>
  <c r="F35" i="3"/>
  <c r="F34" i="3"/>
  <c r="F33" i="3"/>
  <c r="F32" i="3"/>
  <c r="F25" i="3"/>
  <c r="F27" i="3" s="1"/>
  <c r="F21" i="3"/>
  <c r="F20" i="3"/>
  <c r="F18" i="3"/>
  <c r="F16" i="3" s="1"/>
  <c r="F17" i="3"/>
  <c r="F15" i="3" s="1"/>
  <c r="F11" i="3"/>
  <c r="F10" i="3"/>
  <c r="F9" i="3"/>
  <c r="H33" i="7"/>
  <c r="H32" i="7"/>
  <c r="H13" i="7"/>
  <c r="H12" i="7"/>
  <c r="H11" i="7"/>
  <c r="I32" i="7"/>
  <c r="I33" i="7"/>
  <c r="I11" i="7"/>
  <c r="I13" i="7"/>
  <c r="I12" i="7"/>
  <c r="E33" i="7" l="1"/>
  <c r="B33" i="7"/>
  <c r="B42" i="3" l="1"/>
  <c r="J42" i="3" l="1"/>
  <c r="B57" i="3"/>
  <c r="D57" i="3" s="1"/>
  <c r="J40" i="3"/>
  <c r="C9" i="29" l="1"/>
  <c r="D9" i="29" s="1"/>
  <c r="E9" i="29" s="1"/>
  <c r="F9" i="29" s="1"/>
  <c r="G9" i="29" s="1"/>
  <c r="H9" i="29" s="1"/>
  <c r="I9" i="29" s="1"/>
  <c r="J9" i="29" s="1"/>
  <c r="K9" i="29" s="1"/>
  <c r="L9" i="29" s="1"/>
  <c r="M9" i="29" s="1"/>
  <c r="J32" i="22" s="1"/>
  <c r="B9" i="29"/>
  <c r="C8" i="29"/>
  <c r="D8" i="29" s="1"/>
  <c r="E8" i="29" s="1"/>
  <c r="F8" i="29" s="1"/>
  <c r="G8" i="29" s="1"/>
  <c r="H8" i="29" s="1"/>
  <c r="I8" i="29" s="1"/>
  <c r="J8" i="29" s="1"/>
  <c r="K8" i="29" s="1"/>
  <c r="B8" i="29"/>
  <c r="C7" i="29"/>
  <c r="D7" i="29" s="1"/>
  <c r="E7" i="29" s="1"/>
  <c r="B7" i="29"/>
  <c r="J33" i="22" l="1"/>
  <c r="J35" i="22"/>
  <c r="F7" i="29"/>
  <c r="G7" i="29" s="1"/>
  <c r="H7" i="29" s="1"/>
  <c r="I7" i="29" s="1"/>
  <c r="J7" i="29" s="1"/>
  <c r="K7" i="29" s="1"/>
  <c r="L7" i="29" s="1"/>
  <c r="M7" i="29" s="1"/>
  <c r="L8" i="29"/>
  <c r="M8" i="29" s="1"/>
  <c r="K32" i="22" s="1"/>
  <c r="K35" i="22" l="1"/>
  <c r="K33" i="22"/>
  <c r="L33" i="22" s="1"/>
  <c r="B41" i="3"/>
  <c r="B70" i="3" s="1"/>
  <c r="D70" i="3" s="1"/>
  <c r="J41" i="3" l="1"/>
  <c r="B56" i="3"/>
  <c r="D56" i="3" l="1"/>
  <c r="D60" i="3" s="1"/>
  <c r="B60" i="3"/>
  <c r="H27" i="7"/>
  <c r="F11" i="7"/>
  <c r="B11" i="7"/>
  <c r="F33" i="7" l="1"/>
  <c r="C33" i="7"/>
  <c r="F32" i="7"/>
  <c r="E32" i="7"/>
  <c r="C32" i="7"/>
  <c r="B32" i="7"/>
  <c r="F31" i="7"/>
  <c r="E31" i="7"/>
  <c r="C31" i="7"/>
  <c r="B31" i="7"/>
  <c r="F13" i="7"/>
  <c r="E13" i="7"/>
  <c r="C13" i="7"/>
  <c r="B13" i="7"/>
  <c r="F12" i="7"/>
  <c r="E12" i="7"/>
  <c r="C12" i="7"/>
  <c r="B12" i="7"/>
  <c r="B15" i="7" s="1"/>
  <c r="C11" i="7"/>
  <c r="E15" i="7" l="1"/>
  <c r="E57" i="3"/>
  <c r="F57" i="3" s="1"/>
  <c r="H31" i="7"/>
  <c r="J31" i="7" s="1"/>
  <c r="J32" i="7"/>
  <c r="J33" i="7"/>
  <c r="F15" i="7"/>
  <c r="D27" i="7"/>
  <c r="D11" i="7"/>
  <c r="J12" i="7"/>
  <c r="G12" i="7"/>
  <c r="D32" i="7"/>
  <c r="G13" i="7"/>
  <c r="G31" i="7"/>
  <c r="G27" i="7"/>
  <c r="G33" i="7"/>
  <c r="D33" i="7"/>
  <c r="D31" i="7"/>
  <c r="D12" i="7"/>
  <c r="G32" i="7"/>
  <c r="H15" i="7"/>
  <c r="J11" i="7"/>
  <c r="G11" i="7"/>
  <c r="D13" i="7"/>
  <c r="J13" i="7"/>
  <c r="C15" i="7"/>
  <c r="I15" i="7"/>
  <c r="G15" i="7" l="1"/>
  <c r="J15" i="7"/>
  <c r="D15" i="7"/>
  <c r="D18" i="30" l="1"/>
  <c r="E18" i="30"/>
  <c r="F18" i="30"/>
  <c r="G18" i="30"/>
  <c r="H18" i="30"/>
  <c r="I18" i="30"/>
  <c r="J18" i="30"/>
  <c r="K18" i="30"/>
  <c r="L18" i="30"/>
  <c r="M18" i="30"/>
  <c r="N18" i="30"/>
  <c r="O7" i="29" l="1"/>
  <c r="O8" i="29" s="1"/>
  <c r="I19" i="7" l="1"/>
  <c r="C18" i="30" l="1"/>
  <c r="B36" i="3" l="1"/>
  <c r="J36" i="3" s="1"/>
  <c r="G12" i="30" l="1"/>
  <c r="F12" i="30"/>
  <c r="E12" i="30"/>
  <c r="D12" i="30"/>
  <c r="C12" i="30"/>
  <c r="N12" i="30"/>
  <c r="M12" i="30"/>
  <c r="L12" i="30"/>
  <c r="K12" i="30"/>
  <c r="J12" i="30"/>
  <c r="I12" i="30"/>
  <c r="H12" i="30"/>
  <c r="K5" i="30"/>
  <c r="I5" i="30"/>
  <c r="J5" i="30"/>
  <c r="H5" i="30"/>
  <c r="G5" i="30"/>
  <c r="F5" i="30"/>
  <c r="E5" i="30"/>
  <c r="D5" i="30"/>
  <c r="C5" i="30"/>
  <c r="C33" i="3" l="1"/>
  <c r="G33" i="3"/>
  <c r="F38" i="3" l="1"/>
  <c r="F46" i="3"/>
  <c r="F12" i="3"/>
  <c r="F48" i="3" l="1"/>
  <c r="F19" i="3"/>
  <c r="F22" i="3" l="1"/>
  <c r="F28" i="3" l="1"/>
  <c r="F50" i="3" s="1"/>
  <c r="M23" i="29" l="1"/>
  <c r="L23" i="29"/>
  <c r="K23" i="29"/>
  <c r="J23" i="29"/>
  <c r="I23" i="29"/>
  <c r="H23" i="29"/>
  <c r="G23" i="29"/>
  <c r="F23" i="29"/>
  <c r="E23" i="29"/>
  <c r="D23" i="29"/>
  <c r="C23" i="29"/>
  <c r="B23" i="29"/>
  <c r="B27" i="29" s="1"/>
  <c r="M22" i="29"/>
  <c r="L22" i="29"/>
  <c r="K22" i="29"/>
  <c r="J22" i="29"/>
  <c r="I22" i="29"/>
  <c r="H22" i="29"/>
  <c r="G22" i="29"/>
  <c r="F22" i="29"/>
  <c r="E22" i="29"/>
  <c r="D22" i="29"/>
  <c r="C22" i="29"/>
  <c r="B22" i="29"/>
  <c r="B26" i="29" s="1"/>
  <c r="M21" i="29"/>
  <c r="L21" i="29"/>
  <c r="K21" i="29"/>
  <c r="J21" i="29"/>
  <c r="I21" i="29"/>
  <c r="H21" i="29"/>
  <c r="G21" i="29"/>
  <c r="F21" i="29"/>
  <c r="E21" i="29"/>
  <c r="D21" i="29"/>
  <c r="C21" i="29"/>
  <c r="B21" i="29"/>
  <c r="B25" i="29" s="1"/>
  <c r="B19" i="29"/>
  <c r="C19" i="29" s="1"/>
  <c r="D19" i="29" s="1"/>
  <c r="E19" i="29" s="1"/>
  <c r="F19" i="29" s="1"/>
  <c r="G19" i="29" s="1"/>
  <c r="H19" i="29" s="1"/>
  <c r="I19" i="29" s="1"/>
  <c r="J19" i="29" s="1"/>
  <c r="K19" i="29" s="1"/>
  <c r="L19" i="29" s="1"/>
  <c r="M19" i="29" s="1"/>
  <c r="G11" i="3" l="1"/>
  <c r="G35" i="3"/>
  <c r="G36" i="3"/>
  <c r="G18" i="3"/>
  <c r="G32" i="3"/>
  <c r="G37" i="3"/>
  <c r="G45" i="3"/>
  <c r="G21" i="3"/>
  <c r="G41" i="3"/>
  <c r="G17" i="3"/>
  <c r="G42" i="3"/>
  <c r="G10" i="3"/>
  <c r="G20" i="3"/>
  <c r="G34" i="3"/>
  <c r="G40" i="3"/>
  <c r="G9" i="3"/>
  <c r="G25" i="3"/>
  <c r="G27" i="3" s="1"/>
  <c r="C25" i="29"/>
  <c r="D25" i="29" s="1"/>
  <c r="E25" i="29" s="1"/>
  <c r="F25" i="29" s="1"/>
  <c r="G25" i="29" s="1"/>
  <c r="H25" i="29" s="1"/>
  <c r="I25" i="29" s="1"/>
  <c r="J25" i="29" s="1"/>
  <c r="K25" i="29" s="1"/>
  <c r="L25" i="29" s="1"/>
  <c r="M25" i="29" s="1"/>
  <c r="C26" i="29"/>
  <c r="D26" i="29" s="1"/>
  <c r="E26" i="29" s="1"/>
  <c r="F26" i="29" s="1"/>
  <c r="G26" i="29" s="1"/>
  <c r="H26" i="29" s="1"/>
  <c r="I26" i="29" s="1"/>
  <c r="J26" i="29" s="1"/>
  <c r="K26" i="29" s="1"/>
  <c r="L26" i="29" s="1"/>
  <c r="M26" i="29" s="1"/>
  <c r="C27" i="29"/>
  <c r="D27" i="29" s="1"/>
  <c r="E27" i="29" s="1"/>
  <c r="F27" i="29" s="1"/>
  <c r="G27" i="29" s="1"/>
  <c r="H27" i="29" s="1"/>
  <c r="I27" i="29" s="1"/>
  <c r="J27" i="29" s="1"/>
  <c r="K27" i="29" s="1"/>
  <c r="L27" i="29" s="1"/>
  <c r="M27" i="29" s="1"/>
  <c r="G46" i="3" l="1"/>
  <c r="G12" i="3"/>
  <c r="C19" i="7" l="1"/>
  <c r="D19" i="7" l="1"/>
  <c r="F19" i="7"/>
  <c r="H19" i="7" l="1"/>
  <c r="J19" i="7" s="1"/>
  <c r="G19" i="7" l="1"/>
  <c r="I18" i="43" l="1"/>
  <c r="I17" i="43"/>
  <c r="I16" i="43"/>
  <c r="I15" i="43"/>
  <c r="I11" i="43"/>
  <c r="H18" i="43"/>
  <c r="H17" i="43"/>
  <c r="H16" i="43"/>
  <c r="F11" i="43"/>
  <c r="H11" i="43"/>
  <c r="C11" i="43"/>
  <c r="E15" i="43" l="1"/>
  <c r="H15" i="43"/>
  <c r="J15" i="43" s="1"/>
  <c r="I19" i="43"/>
  <c r="J18" i="43"/>
  <c r="J16" i="43"/>
  <c r="J17" i="43"/>
  <c r="J11" i="43" l="1"/>
  <c r="I12" i="43"/>
  <c r="I21" i="43" s="1"/>
  <c r="I10" i="50" l="1"/>
  <c r="S7" i="49"/>
  <c r="F18" i="43"/>
  <c r="E18" i="43"/>
  <c r="C18" i="43"/>
  <c r="B18" i="43"/>
  <c r="F17" i="43"/>
  <c r="E17" i="43"/>
  <c r="C17" i="43"/>
  <c r="B17" i="43"/>
  <c r="F16" i="43"/>
  <c r="E16" i="43"/>
  <c r="C16" i="43"/>
  <c r="B16" i="43"/>
  <c r="C15" i="43"/>
  <c r="H12" i="43"/>
  <c r="E11" i="43"/>
  <c r="G11" i="43" s="1"/>
  <c r="B11" i="43"/>
  <c r="D11" i="43" s="1"/>
  <c r="F12" i="43" l="1"/>
  <c r="G16" i="43"/>
  <c r="D17" i="43"/>
  <c r="G18" i="43"/>
  <c r="F15" i="43"/>
  <c r="G15" i="43" s="1"/>
  <c r="B15" i="43"/>
  <c r="B19" i="43" s="1"/>
  <c r="E19" i="43"/>
  <c r="D16" i="43"/>
  <c r="G17" i="43"/>
  <c r="E12" i="43"/>
  <c r="C19" i="43"/>
  <c r="H19" i="43"/>
  <c r="H21" i="43" s="1"/>
  <c r="H10" i="50" s="1"/>
  <c r="J10" i="50" s="1"/>
  <c r="B12" i="43"/>
  <c r="D18" i="43"/>
  <c r="C12" i="43"/>
  <c r="J21" i="43" l="1"/>
  <c r="F19" i="43"/>
  <c r="F21" i="43" s="1"/>
  <c r="D15" i="43"/>
  <c r="D19" i="43" s="1"/>
  <c r="G12" i="43"/>
  <c r="C21" i="43"/>
  <c r="E21" i="43"/>
  <c r="E10" i="50" s="1"/>
  <c r="J12" i="43"/>
  <c r="B21" i="43"/>
  <c r="B10" i="50" s="1"/>
  <c r="G19" i="43"/>
  <c r="J19" i="43"/>
  <c r="D12" i="43"/>
  <c r="C10" i="50" l="1"/>
  <c r="D10" i="50" s="1"/>
  <c r="N7" i="49"/>
  <c r="F10" i="50"/>
  <c r="G10" i="50" s="1"/>
  <c r="T7" i="49"/>
  <c r="L41" i="3"/>
  <c r="E56" i="3"/>
  <c r="F56" i="3" s="1"/>
  <c r="G21" i="43"/>
  <c r="D21" i="43"/>
  <c r="H18" i="7" l="1"/>
  <c r="C32" i="3"/>
  <c r="B32" i="3"/>
  <c r="J32" i="3" s="1"/>
  <c r="N18" i="29"/>
  <c r="J33" i="3" l="1"/>
  <c r="D33" i="3" l="1"/>
  <c r="J45" i="3" l="1"/>
  <c r="J46" i="3" s="1"/>
  <c r="B37" i="3"/>
  <c r="J37" i="3" s="1"/>
  <c r="D45" i="3" l="1"/>
  <c r="C37" i="3" l="1"/>
  <c r="C25" i="3" l="1"/>
  <c r="C27" i="3" s="1"/>
  <c r="T9" i="49" l="1"/>
  <c r="S9" i="49"/>
  <c r="Q9" i="49"/>
  <c r="N9" i="49"/>
  <c r="B12" i="50" l="1"/>
  <c r="M9" i="49"/>
  <c r="E12" i="50"/>
  <c r="P9" i="49"/>
  <c r="I20" i="7"/>
  <c r="F20" i="7"/>
  <c r="C20" i="7"/>
  <c r="B20" i="7"/>
  <c r="B21" i="7" l="1"/>
  <c r="E21" i="7"/>
  <c r="I21" i="7"/>
  <c r="C21" i="7"/>
  <c r="F21" i="7"/>
  <c r="E20" i="7"/>
  <c r="G20" i="7" s="1"/>
  <c r="H20" i="7"/>
  <c r="J20" i="7" s="1"/>
  <c r="D20" i="7"/>
  <c r="C18" i="7"/>
  <c r="F18" i="7"/>
  <c r="I18" i="7"/>
  <c r="E22" i="7" l="1"/>
  <c r="E24" i="7" s="1"/>
  <c r="H21" i="7"/>
  <c r="H22" i="7" s="1"/>
  <c r="D21" i="7"/>
  <c r="B22" i="7"/>
  <c r="B24" i="7" s="1"/>
  <c r="B29" i="7" s="1"/>
  <c r="J18" i="7"/>
  <c r="I22" i="7"/>
  <c r="I24" i="7" s="1"/>
  <c r="G18" i="7"/>
  <c r="F22" i="7"/>
  <c r="F24" i="7" s="1"/>
  <c r="D18" i="7"/>
  <c r="C22" i="7"/>
  <c r="C24" i="7" s="1"/>
  <c r="E29" i="7" l="1"/>
  <c r="B35" i="7"/>
  <c r="C29" i="7"/>
  <c r="C35" i="7" s="1"/>
  <c r="H24" i="7"/>
  <c r="G21" i="7"/>
  <c r="G22" i="7" s="1"/>
  <c r="J21" i="7"/>
  <c r="J22" i="7" s="1"/>
  <c r="D22" i="7"/>
  <c r="F29" i="7"/>
  <c r="G24" i="7"/>
  <c r="G29" i="7" s="1"/>
  <c r="G35" i="7" s="1"/>
  <c r="D24" i="7"/>
  <c r="D29" i="7" s="1"/>
  <c r="D35" i="7" s="1"/>
  <c r="J27" i="7"/>
  <c r="C9" i="50" l="1"/>
  <c r="C32" i="50" s="1"/>
  <c r="C48" i="50" s="1"/>
  <c r="C52" i="50" s="1"/>
  <c r="C53" i="50" s="1"/>
  <c r="N6" i="49"/>
  <c r="N33" i="49" s="1"/>
  <c r="N47" i="49" s="1"/>
  <c r="B9" i="50"/>
  <c r="B32" i="50" s="1"/>
  <c r="B48" i="50" s="1"/>
  <c r="B52" i="50" s="1"/>
  <c r="B53" i="50" s="1"/>
  <c r="M6" i="49"/>
  <c r="M33" i="49" s="1"/>
  <c r="M47" i="49" s="1"/>
  <c r="M49" i="49" s="1"/>
  <c r="E35" i="7"/>
  <c r="E54" i="3"/>
  <c r="F54" i="3" s="1"/>
  <c r="F60" i="3" s="1"/>
  <c r="H60" i="3" s="1"/>
  <c r="F35" i="7"/>
  <c r="H29" i="7"/>
  <c r="H35" i="7" s="1"/>
  <c r="J24" i="7"/>
  <c r="J29" i="7" s="1"/>
  <c r="J35" i="7" s="1"/>
  <c r="I29" i="7"/>
  <c r="I35" i="7" s="1"/>
  <c r="D9" i="50" l="1"/>
  <c r="D32" i="50" s="1"/>
  <c r="D48" i="50" s="1"/>
  <c r="D52" i="50" s="1"/>
  <c r="D53" i="50" s="1"/>
  <c r="E9" i="50"/>
  <c r="L40" i="3" s="1"/>
  <c r="P6" i="49"/>
  <c r="P33" i="49" s="1"/>
  <c r="P47" i="49" s="1"/>
  <c r="P49" i="49" s="1"/>
  <c r="F9" i="50"/>
  <c r="Q6" i="49"/>
  <c r="Q33" i="49" s="1"/>
  <c r="Q47" i="49" s="1"/>
  <c r="I9" i="50"/>
  <c r="I32" i="50" s="1"/>
  <c r="I48" i="50" s="1"/>
  <c r="I52" i="50" s="1"/>
  <c r="I53" i="50" s="1"/>
  <c r="S6" i="49"/>
  <c r="S33" i="49" s="1"/>
  <c r="S47" i="49" s="1"/>
  <c r="H9" i="50"/>
  <c r="H32" i="50" s="1"/>
  <c r="H48" i="50" s="1"/>
  <c r="H52" i="50" s="1"/>
  <c r="H53" i="50" s="1"/>
  <c r="T6" i="49"/>
  <c r="T33" i="49" s="1"/>
  <c r="T47" i="49" s="1"/>
  <c r="E60" i="3"/>
  <c r="H8" i="37"/>
  <c r="I26" i="37"/>
  <c r="K26" i="37" s="1"/>
  <c r="K23" i="37"/>
  <c r="I23" i="37"/>
  <c r="I22" i="37"/>
  <c r="K22" i="37" s="1"/>
  <c r="K24" i="37" s="1"/>
  <c r="J9" i="50" l="1"/>
  <c r="J32" i="50" s="1"/>
  <c r="J48" i="50" s="1"/>
  <c r="J52" i="50" s="1"/>
  <c r="J53" i="50" s="1"/>
  <c r="G9" i="50"/>
  <c r="F32" i="50"/>
  <c r="F48" i="50" s="1"/>
  <c r="F52" i="50" s="1"/>
  <c r="F53" i="50" s="1"/>
  <c r="C15" i="37"/>
  <c r="C16" i="37" s="1"/>
  <c r="B15" i="37"/>
  <c r="B16" i="37" s="1"/>
  <c r="C17" i="37" l="1"/>
  <c r="C18" i="37"/>
  <c r="B17" i="37"/>
  <c r="B18" i="37" s="1"/>
  <c r="D18" i="37" s="1"/>
  <c r="K31" i="5" l="1"/>
  <c r="K28" i="5"/>
  <c r="C35" i="3" l="1"/>
  <c r="C31" i="3" s="1"/>
  <c r="C42" i="3"/>
  <c r="C41" i="3"/>
  <c r="E46" i="3" l="1"/>
  <c r="X55" i="28" l="1"/>
  <c r="AA43" i="28"/>
  <c r="Z43" i="28"/>
  <c r="Y43" i="28"/>
  <c r="U43" i="28"/>
  <c r="Z50" i="28"/>
  <c r="Z55" i="28" s="1"/>
  <c r="Y50" i="28"/>
  <c r="Y55" i="28" s="1"/>
  <c r="U50" i="28"/>
  <c r="AD50" i="28" s="1"/>
  <c r="M50" i="28"/>
  <c r="W50" i="28" s="1"/>
  <c r="Q50" i="28"/>
  <c r="AA50" i="28" s="1"/>
  <c r="AA55" i="28" s="1"/>
  <c r="AC50" i="28" l="1"/>
  <c r="W55" i="28"/>
  <c r="U55" i="28"/>
  <c r="C25" i="17" l="1"/>
  <c r="Z49" i="28"/>
  <c r="Y49" i="28"/>
  <c r="U49" i="28"/>
  <c r="AD49" i="28" s="1"/>
  <c r="Q49" i="28"/>
  <c r="AA49" i="28" s="1"/>
  <c r="L49" i="28"/>
  <c r="M49" i="28"/>
  <c r="W49" i="28" s="1"/>
  <c r="AC49" i="28" l="1"/>
  <c r="AC55" i="28"/>
  <c r="Z48" i="28"/>
  <c r="AA46" i="28"/>
  <c r="AA45" i="28"/>
  <c r="AA44" i="28"/>
  <c r="AA42" i="28"/>
  <c r="AA41" i="28"/>
  <c r="AA40" i="28"/>
  <c r="AA39" i="28"/>
  <c r="Q47" i="28"/>
  <c r="AA47" i="28" s="1"/>
  <c r="P48" i="28"/>
  <c r="O48" i="28"/>
  <c r="Y48" i="28" s="1"/>
  <c r="R49" i="28"/>
  <c r="Q48" i="28"/>
  <c r="AA48" i="28" s="1"/>
  <c r="K48" i="28"/>
  <c r="U48" i="28" s="1"/>
  <c r="Q51" i="28" l="1"/>
  <c r="AA51" i="28"/>
  <c r="AA56" i="28" s="1"/>
  <c r="Z47" i="28" l="1"/>
  <c r="Y47" i="28"/>
  <c r="K47" i="28"/>
  <c r="AD48" i="28"/>
  <c r="AD43" i="28"/>
  <c r="Z46" i="28"/>
  <c r="Y46" i="28"/>
  <c r="L46" i="28"/>
  <c r="K46" i="28"/>
  <c r="U46" i="28" l="1"/>
  <c r="U47" i="28"/>
  <c r="N23" i="29"/>
  <c r="N21" i="29"/>
  <c r="AD46" i="28" l="1"/>
  <c r="AD47" i="28"/>
  <c r="N22" i="29" l="1"/>
  <c r="I25" i="17" l="1"/>
  <c r="G25" i="17" l="1"/>
  <c r="E25" i="17"/>
  <c r="H25" i="17"/>
  <c r="F25" i="17"/>
  <c r="D25" i="17"/>
  <c r="D48" i="28" l="1"/>
  <c r="D47" i="28"/>
  <c r="D46" i="28"/>
  <c r="C33" i="28"/>
  <c r="C50" i="28"/>
  <c r="C47" i="28"/>
  <c r="C49" i="28"/>
  <c r="V49" i="28" s="1"/>
  <c r="C48" i="28"/>
  <c r="I47" i="28"/>
  <c r="I45" i="28"/>
  <c r="I44" i="28"/>
  <c r="I43" i="28"/>
  <c r="I42" i="28"/>
  <c r="I41" i="28"/>
  <c r="I40" i="28"/>
  <c r="I39" i="28"/>
  <c r="C46" i="28"/>
  <c r="I46" i="28" l="1"/>
  <c r="V46" i="28"/>
  <c r="AE49" i="28"/>
  <c r="AB49" i="28"/>
  <c r="L47" i="28"/>
  <c r="V47" i="28" s="1"/>
  <c r="M46" i="28"/>
  <c r="R46" i="28" s="1"/>
  <c r="I49" i="28"/>
  <c r="I50" i="28"/>
  <c r="L50" i="28"/>
  <c r="R50" i="28" s="1"/>
  <c r="M47" i="28"/>
  <c r="W47" i="28" s="1"/>
  <c r="AC47" i="28" s="1"/>
  <c r="L48" i="28"/>
  <c r="V48" i="28" s="1"/>
  <c r="M48" i="28"/>
  <c r="W48" i="28" s="1"/>
  <c r="AC48" i="28" s="1"/>
  <c r="I48" i="28"/>
  <c r="AB48" i="28" l="1"/>
  <c r="AE48" i="28"/>
  <c r="AE47" i="28"/>
  <c r="AB47" i="28"/>
  <c r="V50" i="28"/>
  <c r="W46" i="28"/>
  <c r="AC46" i="28" s="1"/>
  <c r="AE46" i="28"/>
  <c r="AB46" i="28"/>
  <c r="R48" i="28"/>
  <c r="R47" i="28"/>
  <c r="Z45" i="28"/>
  <c r="U45" i="28"/>
  <c r="P45" i="28"/>
  <c r="O45" i="28"/>
  <c r="Y45" i="28" s="1"/>
  <c r="M45" i="28"/>
  <c r="W45" i="28" s="1"/>
  <c r="AC45" i="28" s="1"/>
  <c r="L45" i="28"/>
  <c r="V45" i="28" l="1"/>
  <c r="AE45" i="28" s="1"/>
  <c r="R45" i="28"/>
  <c r="AB45" i="28"/>
  <c r="AD45" i="28"/>
  <c r="AE50" i="28"/>
  <c r="V55" i="28"/>
  <c r="AB55" i="28" s="1"/>
  <c r="AB50" i="28"/>
  <c r="Z44" i="28" l="1"/>
  <c r="Y44" i="28"/>
  <c r="U44" i="28"/>
  <c r="M44" i="28"/>
  <c r="W44" i="28" s="1"/>
  <c r="AC44" i="28" s="1"/>
  <c r="L44" i="28"/>
  <c r="AD44" i="28" l="1"/>
  <c r="V44" i="28"/>
  <c r="AE44" i="28" s="1"/>
  <c r="R44" i="28"/>
  <c r="N43" i="28"/>
  <c r="X43" i="28" s="1"/>
  <c r="M43" i="28"/>
  <c r="W43" i="28" s="1"/>
  <c r="L43" i="28"/>
  <c r="Z39" i="28"/>
  <c r="Z40" i="28"/>
  <c r="Z41" i="28"/>
  <c r="Y41" i="28"/>
  <c r="P42" i="28"/>
  <c r="Z42" i="28" s="1"/>
  <c r="O42" i="28"/>
  <c r="Y42" i="28" s="1"/>
  <c r="M42" i="28"/>
  <c r="W42" i="28" s="1"/>
  <c r="L42" i="28"/>
  <c r="V42" i="28" s="1"/>
  <c r="AE42" i="28" s="1"/>
  <c r="K42" i="28"/>
  <c r="AC42" i="28" l="1"/>
  <c r="U42" i="28"/>
  <c r="R42" i="28"/>
  <c r="V43" i="28"/>
  <c r="R43" i="28"/>
  <c r="S43" i="28" s="1"/>
  <c r="AC43" i="28"/>
  <c r="AB44" i="28"/>
  <c r="AE55" i="28"/>
  <c r="AD55" i="28"/>
  <c r="AB43" i="28" l="1"/>
  <c r="AE43" i="28"/>
  <c r="AB42" i="28"/>
  <c r="AD42" i="28"/>
  <c r="Z51" i="28"/>
  <c r="Z56" i="28" s="1"/>
  <c r="X51" i="28"/>
  <c r="X56" i="28" s="1"/>
  <c r="P51" i="28" l="1"/>
  <c r="N51" i="28"/>
  <c r="G51" i="28" l="1"/>
  <c r="F51" i="28"/>
  <c r="E51" i="28"/>
  <c r="D51" i="28"/>
  <c r="C51" i="28"/>
  <c r="B51" i="28"/>
  <c r="S50" i="28" l="1"/>
  <c r="S49" i="28" l="1"/>
  <c r="S48" i="28" l="1"/>
  <c r="S47" i="28" l="1"/>
  <c r="I51" i="28"/>
  <c r="S45" i="28"/>
  <c r="S46" i="28" l="1"/>
  <c r="S44" i="28"/>
  <c r="S42" i="28"/>
  <c r="M41" i="28" l="1"/>
  <c r="W41" i="28" s="1"/>
  <c r="AC41" i="28" s="1"/>
  <c r="L41" i="28"/>
  <c r="V41" i="28" s="1"/>
  <c r="AE41" i="28" s="1"/>
  <c r="K41" i="28"/>
  <c r="R41" i="28" s="1"/>
  <c r="U41" i="28" l="1"/>
  <c r="S41" i="28"/>
  <c r="AB41" i="28" l="1"/>
  <c r="AD41" i="28"/>
  <c r="M40" i="28"/>
  <c r="W40" i="28" s="1"/>
  <c r="AC40" i="28" s="1"/>
  <c r="L40" i="28"/>
  <c r="K40" i="28"/>
  <c r="AE39" i="28"/>
  <c r="O39" i="28"/>
  <c r="O51" i="28" s="1"/>
  <c r="M39" i="28"/>
  <c r="M51" i="28" s="1"/>
  <c r="K39" i="28"/>
  <c r="E3" i="28"/>
  <c r="E2" i="28"/>
  <c r="E33" i="28" s="1"/>
  <c r="K51" i="28" l="1"/>
  <c r="R39" i="28"/>
  <c r="U40" i="28"/>
  <c r="AB40" i="28" s="1"/>
  <c r="R40" i="28"/>
  <c r="L51" i="28"/>
  <c r="V40" i="28"/>
  <c r="U39" i="28"/>
  <c r="S40" i="28"/>
  <c r="AD40" i="28" l="1"/>
  <c r="S39" i="28"/>
  <c r="S51" i="28" s="1"/>
  <c r="R51" i="28" s="1"/>
  <c r="U51" i="28"/>
  <c r="U56" i="28" s="1"/>
  <c r="AD39" i="28"/>
  <c r="V51" i="28"/>
  <c r="V56" i="28" s="1"/>
  <c r="AE40" i="28"/>
  <c r="AE51" i="28" s="1"/>
  <c r="AD51" i="28" l="1"/>
  <c r="D42" i="3" l="1"/>
  <c r="D41" i="3"/>
  <c r="C46" i="3"/>
  <c r="D37" i="3" l="1"/>
  <c r="B35" i="3" l="1"/>
  <c r="C34" i="3"/>
  <c r="C38" i="3" s="1"/>
  <c r="C48" i="3" s="1"/>
  <c r="B34" i="3"/>
  <c r="J34" i="3" s="1"/>
  <c r="E31" i="3" l="1"/>
  <c r="E38" i="3" s="1"/>
  <c r="E48" i="3" s="1"/>
  <c r="G48" i="3" s="1"/>
  <c r="J35" i="3"/>
  <c r="B31" i="3"/>
  <c r="D32" i="3"/>
  <c r="D34" i="3"/>
  <c r="D35" i="3"/>
  <c r="G31" i="3" l="1"/>
  <c r="G38" i="3" s="1"/>
  <c r="B38" i="3"/>
  <c r="J31" i="3"/>
  <c r="J38" i="3" s="1"/>
  <c r="D31" i="3"/>
  <c r="B25" i="3" l="1"/>
  <c r="B27" i="3" s="1"/>
  <c r="C21" i="3"/>
  <c r="J25" i="3" l="1"/>
  <c r="J27" i="3" s="1"/>
  <c r="D25" i="3"/>
  <c r="D27" i="3" s="1"/>
  <c r="B21" i="3"/>
  <c r="J21" i="3" s="1"/>
  <c r="C20" i="3"/>
  <c r="B20" i="3"/>
  <c r="J20" i="3" s="1"/>
  <c r="D20" i="3" l="1"/>
  <c r="D21" i="3"/>
  <c r="C18" i="3" l="1"/>
  <c r="B18" i="3"/>
  <c r="B66" i="3" s="1"/>
  <c r="D66" i="3" s="1"/>
  <c r="C17" i="3"/>
  <c r="B17" i="3"/>
  <c r="B65" i="3" s="1"/>
  <c r="B72" i="3" l="1"/>
  <c r="D72" i="3" s="1"/>
  <c r="B67" i="3"/>
  <c r="D65" i="3"/>
  <c r="D67" i="3" s="1"/>
  <c r="E16" i="3"/>
  <c r="G16" i="3" s="1"/>
  <c r="J18" i="3"/>
  <c r="E15" i="3"/>
  <c r="G15" i="3" s="1"/>
  <c r="J17" i="3"/>
  <c r="B15" i="3"/>
  <c r="J15" i="3" s="1"/>
  <c r="D18" i="3"/>
  <c r="D17" i="3"/>
  <c r="C11" i="3"/>
  <c r="B11" i="3"/>
  <c r="J11" i="3" s="1"/>
  <c r="C10" i="3"/>
  <c r="B10" i="3"/>
  <c r="J10" i="3" s="1"/>
  <c r="G19" i="3" l="1"/>
  <c r="G22" i="3" s="1"/>
  <c r="G28" i="3" s="1"/>
  <c r="G50" i="3" s="1"/>
  <c r="E19" i="3"/>
  <c r="E22" i="3" s="1"/>
  <c r="J12" i="3"/>
  <c r="D11" i="3"/>
  <c r="D10" i="3"/>
  <c r="E12" i="3"/>
  <c r="C9" i="3"/>
  <c r="C12" i="3" l="1"/>
  <c r="B9" i="3"/>
  <c r="B55" i="50" l="1"/>
  <c r="B57" i="50" s="1"/>
  <c r="E55" i="50"/>
  <c r="J9" i="3"/>
  <c r="B12" i="3"/>
  <c r="D9" i="3"/>
  <c r="D12" i="3" l="1"/>
  <c r="B18" i="30" l="1"/>
  <c r="L31" i="3" l="1"/>
  <c r="N5" i="30"/>
  <c r="M5" i="30"/>
  <c r="L5" i="30"/>
  <c r="E39" i="50" l="1"/>
  <c r="G38" i="50"/>
  <c r="G39" i="50" s="1"/>
  <c r="G22" i="50"/>
  <c r="G32" i="50" s="1"/>
  <c r="E32" i="50"/>
  <c r="D17" i="10"/>
  <c r="B17" i="10"/>
  <c r="G48" i="50" l="1"/>
  <c r="G52" i="50" s="1"/>
  <c r="G53" i="50" s="1"/>
  <c r="E48" i="50"/>
  <c r="E52" i="50" s="1"/>
  <c r="E53" i="50" s="1"/>
  <c r="I22" i="17"/>
  <c r="H22" i="17"/>
  <c r="G22" i="17"/>
  <c r="F22" i="17"/>
  <c r="E22" i="17"/>
  <c r="D22" i="17"/>
  <c r="C22" i="17"/>
  <c r="E57" i="50" l="1"/>
  <c r="D28" i="17"/>
  <c r="F28" i="17"/>
  <c r="H28" i="17"/>
  <c r="C28" i="17"/>
  <c r="E28" i="17"/>
  <c r="G28" i="17"/>
  <c r="I28" i="17"/>
  <c r="B46" i="3" l="1"/>
  <c r="B48" i="3" s="1"/>
  <c r="D40" i="3"/>
  <c r="D46" i="3" s="1"/>
  <c r="D36" i="3"/>
  <c r="D38" i="3" s="1"/>
  <c r="C15" i="3"/>
  <c r="D15" i="3" s="1"/>
  <c r="B16" i="3"/>
  <c r="C16" i="3"/>
  <c r="AE56" i="28"/>
  <c r="AD56" i="28"/>
  <c r="B19" i="3" l="1"/>
  <c r="B22" i="3" s="1"/>
  <c r="J16" i="3"/>
  <c r="J19" i="3" s="1"/>
  <c r="J22" i="3" s="1"/>
  <c r="J28" i="3" s="1"/>
  <c r="J48" i="3" s="1"/>
  <c r="D16" i="3"/>
  <c r="D19" i="3" s="1"/>
  <c r="D22" i="3" s="1"/>
  <c r="D28" i="3" s="1"/>
  <c r="C19" i="3"/>
  <c r="C22" i="3" s="1"/>
  <c r="D48" i="3" l="1"/>
  <c r="D50" i="3" s="1"/>
  <c r="W39" i="28" l="1"/>
  <c r="Y39" i="28"/>
  <c r="W51" i="28"/>
  <c r="W56" i="28" s="1"/>
  <c r="Y51" i="28"/>
  <c r="Y56" i="28" s="1"/>
  <c r="AC39" i="28" l="1"/>
  <c r="AC51" i="28" s="1"/>
  <c r="AB39" i="28"/>
  <c r="AB51" i="28" s="1"/>
  <c r="AC56" i="28"/>
  <c r="AB56" i="28"/>
  <c r="B28" i="3" l="1"/>
  <c r="B50" i="3" s="1"/>
  <c r="C28" i="3"/>
  <c r="C50" i="3" s="1"/>
  <c r="E28" i="3"/>
  <c r="B58" i="50" l="1"/>
  <c r="B59" i="50" s="1"/>
  <c r="M50" i="49"/>
  <c r="E50" i="3"/>
  <c r="E58" i="50" l="1"/>
  <c r="E59" i="50" s="1"/>
  <c r="E61" i="50" s="1"/>
  <c r="P50" i="49"/>
</calcChain>
</file>

<file path=xl/comments1.xml><?xml version="1.0" encoding="utf-8"?>
<comments xmlns="http://schemas.openxmlformats.org/spreadsheetml/2006/main">
  <authors>
    <author>markoviv</author>
  </authors>
  <commentList>
    <comment ref="J15" authorId="0">
      <text>
        <r>
          <rPr>
            <sz val="8"/>
            <color indexed="81"/>
            <rFont val="Tahoma"/>
            <family val="2"/>
          </rPr>
          <t xml:space="preserve">Source = Accounting-Reporting\Monthly Reporting 'YY\MM-MMM\Working Papers\APAccruals_MMM 20YY.xlsx
</t>
        </r>
      </text>
    </comment>
  </commentList>
</comments>
</file>

<file path=xl/comments2.xml><?xml version="1.0" encoding="utf-8"?>
<comments xmlns="http://schemas.openxmlformats.org/spreadsheetml/2006/main">
  <authors>
    <author>markoviv</author>
  </authors>
  <commentList>
    <comment ref="A19" authorId="0">
      <text>
        <r>
          <rPr>
            <sz val="8"/>
            <color indexed="81"/>
            <rFont val="Tahoma"/>
            <family val="2"/>
          </rPr>
          <t xml:space="preserve">Vesna - quarterly SERP - unrealized - account 89050
</t>
        </r>
      </text>
    </comment>
    <comment ref="B30" authorId="0">
      <text>
        <r>
          <rPr>
            <sz val="8"/>
            <color indexed="81"/>
            <rFont val="Tahoma"/>
            <family val="2"/>
          </rPr>
          <t>from Acct27510.xlsx reconciliation</t>
        </r>
      </text>
    </comment>
    <comment ref="C30" authorId="0">
      <text>
        <r>
          <rPr>
            <sz val="8"/>
            <color indexed="81"/>
            <rFont val="Tahoma"/>
            <family val="2"/>
          </rPr>
          <t xml:space="preserve">Source:
GL Cube Folder - February - Benefit Trending-Feb 2011 - Pension worksheet
</t>
        </r>
      </text>
    </comment>
    <comment ref="F30" authorId="0">
      <text>
        <r>
          <rPr>
            <sz val="8"/>
            <color indexed="81"/>
            <rFont val="Tahoma"/>
            <family val="2"/>
          </rPr>
          <t xml:space="preserve">Source:
GL Cube Folder - February - Benefit Trending-Feb 2011 - Pension worksheet
</t>
        </r>
      </text>
    </comment>
    <comment ref="B31" authorId="0">
      <text>
        <r>
          <rPr>
            <sz val="8"/>
            <color indexed="81"/>
            <rFont val="Tahoma"/>
            <family val="2"/>
          </rPr>
          <t xml:space="preserve">from Acct44000.xlsx reconciliation
</t>
        </r>
      </text>
    </comment>
    <comment ref="C31" authorId="0">
      <text>
        <r>
          <rPr>
            <sz val="8"/>
            <color indexed="81"/>
            <rFont val="Tahoma"/>
            <family val="2"/>
          </rPr>
          <t xml:space="preserve">Source:
GL Cube Folder - February - Benefit Trending-Feb 2011 - OPEB worksheet
</t>
        </r>
      </text>
    </comment>
    <comment ref="H36" authorId="0">
      <text>
        <r>
          <rPr>
            <sz val="8"/>
            <color indexed="81"/>
            <rFont val="Tahoma"/>
            <family val="2"/>
          </rPr>
          <t xml:space="preserve">Vesna - quaterly SERP - realized - account 89040
</t>
        </r>
      </text>
    </comment>
    <comment ref="B39" authorId="0">
      <text>
        <r>
          <rPr>
            <sz val="8"/>
            <color indexed="81"/>
            <rFont val="Tahoma"/>
            <family val="2"/>
          </rPr>
          <t>Vesna - value adjusted for disposal</t>
        </r>
      </text>
    </comment>
    <comment ref="E39" authorId="0">
      <text>
        <r>
          <rPr>
            <sz val="8"/>
            <color indexed="81"/>
            <rFont val="Tahoma"/>
            <family val="2"/>
          </rPr>
          <t>Vesna - value adjusted for disposal</t>
        </r>
      </text>
    </comment>
  </commentList>
</comments>
</file>

<file path=xl/sharedStrings.xml><?xml version="1.0" encoding="utf-8"?>
<sst xmlns="http://schemas.openxmlformats.org/spreadsheetml/2006/main" count="2326" uniqueCount="549">
  <si>
    <t>Type</t>
  </si>
  <si>
    <t>Accounting Unit</t>
  </si>
  <si>
    <t>Actual</t>
  </si>
  <si>
    <t>Original</t>
  </si>
  <si>
    <t>Balance Sheet</t>
  </si>
  <si>
    <t>Current Assets</t>
  </si>
  <si>
    <t>Other Assets</t>
  </si>
  <si>
    <t>Current Liabilities</t>
  </si>
  <si>
    <t>Amortization of Assets</t>
  </si>
  <si>
    <t>Change in Accrual for employee future benefits</t>
  </si>
  <si>
    <t>Change in Accounts Payable &amp; Accrued Liabilities</t>
  </si>
  <si>
    <t>Change in accrued interest</t>
  </si>
  <si>
    <t>Change in Prepaid Expenses</t>
  </si>
  <si>
    <t>Change in Accounts Recievable</t>
  </si>
  <si>
    <t>Statement of Cash Flows</t>
  </si>
  <si>
    <t xml:space="preserve"> </t>
  </si>
  <si>
    <t>OPERATING ACTIVITIES</t>
  </si>
  <si>
    <t>Budget</t>
  </si>
  <si>
    <t>Adjustments for Non-Cash Items:</t>
  </si>
  <si>
    <t xml:space="preserve">     Amortization of assets</t>
  </si>
  <si>
    <t>Changes in Non-cash items related to Operations:</t>
  </si>
  <si>
    <t xml:space="preserve">     Decrease/(Increase) in Accounts Receivable</t>
  </si>
  <si>
    <t>Cash Provided from Operations</t>
  </si>
  <si>
    <t>INVESTING ACTIVITIES</t>
  </si>
  <si>
    <t>Cash Used in Investing Activities</t>
  </si>
  <si>
    <t>FINANCING ACTIVITIES</t>
  </si>
  <si>
    <t xml:space="preserve">Net Change in Cash Flow </t>
  </si>
  <si>
    <t>Reconciliation of Cash and Cash Equivalents:</t>
  </si>
  <si>
    <t xml:space="preserve">     Opening Cash and Cash Equivalents Balance: </t>
  </si>
  <si>
    <t xml:space="preserve">     Net Change in Cash Flows</t>
  </si>
  <si>
    <t>YEAR END</t>
  </si>
  <si>
    <t xml:space="preserve">     ASSETS</t>
  </si>
  <si>
    <t>Total Current Assets</t>
  </si>
  <si>
    <t>Total Other Assets</t>
  </si>
  <si>
    <t>TOTAL ASSETS</t>
  </si>
  <si>
    <t xml:space="preserve">     LIABILITIES</t>
  </si>
  <si>
    <t>Accounts payable &amp; accrued liabilities</t>
  </si>
  <si>
    <t>Accrued interest</t>
  </si>
  <si>
    <t>Accrual for employee future benefits other than pension</t>
  </si>
  <si>
    <t>TOTAL LIABILITIES</t>
  </si>
  <si>
    <t>MONTH</t>
  </si>
  <si>
    <t>Revenues</t>
  </si>
  <si>
    <t>Total Revenues</t>
  </si>
  <si>
    <t>Costs</t>
  </si>
  <si>
    <t xml:space="preserve">   Interest</t>
  </si>
  <si>
    <t>0</t>
  </si>
  <si>
    <t>Act Month</t>
  </si>
  <si>
    <t>Act YTD</t>
  </si>
  <si>
    <t>Bud YTD</t>
  </si>
  <si>
    <t>Projection</t>
  </si>
  <si>
    <t xml:space="preserve">     Decrease/(Increase) in CIP</t>
  </si>
  <si>
    <t xml:space="preserve">     Decrease/(Increase) in Fixed Assets in Service</t>
  </si>
  <si>
    <t>($THOUSANDS)</t>
  </si>
  <si>
    <t>Dec YTD</t>
  </si>
  <si>
    <t>Dec c.Report</t>
  </si>
  <si>
    <t>Corporate Funding</t>
  </si>
  <si>
    <t>Participant Fees</t>
  </si>
  <si>
    <t>Cash &amp; cash equivalents</t>
  </si>
  <si>
    <t>Accounts receivable</t>
  </si>
  <si>
    <t xml:space="preserve">   Amortization</t>
  </si>
  <si>
    <t>Proj YTD</t>
  </si>
  <si>
    <t>Bud Month</t>
  </si>
  <si>
    <t>Total Operating Costs</t>
  </si>
  <si>
    <t>February</t>
  </si>
  <si>
    <t>Cost Recovery</t>
  </si>
  <si>
    <t>Property &amp; Equipment</t>
  </si>
  <si>
    <t xml:space="preserve">Property &amp; equipment in service </t>
  </si>
  <si>
    <t>Total Property &amp; Equipment</t>
  </si>
  <si>
    <t>May</t>
  </si>
  <si>
    <t xml:space="preserve">     Investment in Property &amp; Equipment</t>
  </si>
  <si>
    <t>Cash Provided from Financing Activities</t>
  </si>
  <si>
    <t>Variance</t>
  </si>
  <si>
    <t>Dollars</t>
  </si>
  <si>
    <t>Var Month</t>
  </si>
  <si>
    <t>Var YTD</t>
  </si>
  <si>
    <t>Bud Year</t>
  </si>
  <si>
    <t>Account Category Total</t>
  </si>
  <si>
    <t xml:space="preserve">     Contribution to Pension Asset</t>
  </si>
  <si>
    <t>Accumulated market-related penalties &amp; fines</t>
  </si>
  <si>
    <t>Surplus/(Deficit) for the period</t>
  </si>
  <si>
    <t xml:space="preserve">     Ending Cash and Cash Equivalents Balance</t>
  </si>
  <si>
    <t xml:space="preserve">   Customer Education Fund Expenditures</t>
  </si>
  <si>
    <t xml:space="preserve">     Payment of Employee Future Benefits</t>
  </si>
  <si>
    <t>Independent Electricity System Operator</t>
  </si>
  <si>
    <t>Other:</t>
  </si>
  <si>
    <t xml:space="preserve">    IESO Fees</t>
  </si>
  <si>
    <t>TOTAL LIABILITIES &amp; SURPLUS</t>
  </si>
  <si>
    <t xml:space="preserve">     Decrease/(Increase) in Prepaid Expenses</t>
  </si>
  <si>
    <t>Rebate to Market Participants</t>
  </si>
  <si>
    <t xml:space="preserve">     Increase/(Decrease) in Accounts Payable &amp; Accrued Liabilities</t>
  </si>
  <si>
    <t>Short-term debt</t>
  </si>
  <si>
    <t>Debt - OEFC</t>
  </si>
  <si>
    <t>Line of Credit</t>
  </si>
  <si>
    <t>ShtTerm Notes  posting</t>
  </si>
  <si>
    <t xml:space="preserve">     Increase in Accrual for employee future benefits</t>
  </si>
  <si>
    <t>Customer Education Process OMA</t>
  </si>
  <si>
    <t>Change in Other Comprehensive Income</t>
  </si>
  <si>
    <t xml:space="preserve">   Cost Recovery Fees</t>
  </si>
  <si>
    <t>Construction-in-progress - MDM/R</t>
  </si>
  <si>
    <t>Statement of Operations - Smart Metering Entity</t>
  </si>
  <si>
    <t>Accumulated surplus - usage fees</t>
  </si>
  <si>
    <t>Accumulated deficit - SME fees</t>
  </si>
  <si>
    <t xml:space="preserve">    SME Fees</t>
  </si>
  <si>
    <t>Statement of Operations - Wholesale Market</t>
  </si>
  <si>
    <t xml:space="preserve">   Market-related Investment Income</t>
  </si>
  <si>
    <t>Interest - SME</t>
  </si>
  <si>
    <t xml:space="preserve">     Issue/(Retire) debt</t>
  </si>
  <si>
    <t>Meter Data Management/Repository (MDM/R)</t>
  </si>
  <si>
    <t xml:space="preserve">     Decrease/(Increase) in FV long-term investments</t>
  </si>
  <si>
    <t xml:space="preserve">     Wholesale Market Surplus/(Deficit) for the period</t>
  </si>
  <si>
    <t xml:space="preserve">     Less:  accumulated amortization</t>
  </si>
  <si>
    <t xml:space="preserve">        Total Book Value</t>
  </si>
  <si>
    <t>Long-term investments</t>
  </si>
  <si>
    <t>Short-term prepaid expenses</t>
  </si>
  <si>
    <t>Change in Prepaid Pension Expense</t>
  </si>
  <si>
    <t>Operating Surplus/(Deficit) prior to rebates</t>
  </si>
  <si>
    <t>Dec Report</t>
  </si>
  <si>
    <t xml:space="preserve">     Net Sale/( Purchase) of Long-Term Investments</t>
  </si>
  <si>
    <t>SME - Financing Charges</t>
  </si>
  <si>
    <t>Goodwill &amp; Intangible Assets</t>
  </si>
  <si>
    <t>Construction-in-progress - Property &amp; equipment</t>
  </si>
  <si>
    <t>5001 CUSTEDUCATION Div   CUSTOMER EDUCATION</t>
  </si>
  <si>
    <t>5001 SMI Div             Smart Metering Entity</t>
  </si>
  <si>
    <t>Operations,Maintenance&amp;Admin</t>
  </si>
  <si>
    <t>5001 CORPRELATIONS Div   Corporate Relations</t>
  </si>
  <si>
    <t>5001 RESOURCEINTEGRA Div RESOURCE INTEGRATION</t>
  </si>
  <si>
    <t>5001 OPERATIONS Div      OPERATIONS</t>
  </si>
  <si>
    <t xml:space="preserve">     New Org</t>
  </si>
  <si>
    <t xml:space="preserve">   OM&amp;A - Program Costs</t>
  </si>
  <si>
    <t xml:space="preserve">   OM&amp;A - Pension Expense</t>
  </si>
  <si>
    <t>Benefits - Pension</t>
  </si>
  <si>
    <t xml:space="preserve">          Income - SERP Reserve</t>
  </si>
  <si>
    <t>5001 ITS Div              Organizational Development</t>
  </si>
  <si>
    <t>5001 FINANCE Div         Finance</t>
  </si>
  <si>
    <t>5001 BALANCING Div       IMO Balancing AU</t>
  </si>
  <si>
    <t xml:space="preserve">     Increase/(Decrease) in Accrued Interest</t>
  </si>
  <si>
    <t>5001 EDAC     Enhanced Day-Ahead Commitment</t>
  </si>
  <si>
    <t>5001 MKTSURV Div         Market Assessment &amp; Compliance</t>
  </si>
  <si>
    <t>5001 LEGALSERVICES Div   LEGAL SERVICES</t>
  </si>
  <si>
    <t>5001 CEO Div</t>
  </si>
  <si>
    <t>5001 BOARDOFDIRCT Div    Board of Directors</t>
  </si>
  <si>
    <t>EDAC</t>
  </si>
  <si>
    <t>ABB</t>
  </si>
  <si>
    <t>Lawson</t>
  </si>
  <si>
    <t>Itron</t>
  </si>
  <si>
    <t>NERC</t>
  </si>
  <si>
    <t>Total</t>
  </si>
  <si>
    <t>Apr</t>
  </si>
  <si>
    <t>Jun</t>
  </si>
  <si>
    <t>Jul</t>
  </si>
  <si>
    <t>Aug</t>
  </si>
  <si>
    <t>Sep</t>
  </si>
  <si>
    <t>Oct</t>
  </si>
  <si>
    <t>Nov</t>
  </si>
  <si>
    <t>YTD</t>
  </si>
  <si>
    <t>Capital</t>
  </si>
  <si>
    <t>OM&amp;A</t>
  </si>
  <si>
    <t>SME - Funding</t>
  </si>
  <si>
    <t>New Org</t>
  </si>
  <si>
    <t>Total OM&amp;A - Excluding Customer Education &amp; SMI</t>
  </si>
  <si>
    <t>Amortization</t>
  </si>
  <si>
    <t>Interest &amp; Forgein Exchange</t>
  </si>
  <si>
    <t>Other Income</t>
  </si>
  <si>
    <t>Investment Income</t>
  </si>
  <si>
    <t>Cash &amp; Cash Equivalents</t>
  </si>
  <si>
    <t>Short Term Investments</t>
  </si>
  <si>
    <t>Accounts Receivable</t>
  </si>
  <si>
    <t>Short Term Prepaid Expenses</t>
  </si>
  <si>
    <t>In-service Assets</t>
  </si>
  <si>
    <t>Accumulated Amortization</t>
  </si>
  <si>
    <t>Meter Data Mgmt/Repository</t>
  </si>
  <si>
    <t>Accum. Amortization MDMR</t>
  </si>
  <si>
    <t>Market Related Project Costs</t>
  </si>
  <si>
    <t>Other IESO Projects</t>
  </si>
  <si>
    <t>Construction in progress</t>
  </si>
  <si>
    <t>Capital Assets</t>
  </si>
  <si>
    <t>Ingantible Assets Gross</t>
  </si>
  <si>
    <t>Accum. Amort Intangible Assets</t>
  </si>
  <si>
    <t>Assets</t>
  </si>
  <si>
    <t>Long Term Investments</t>
  </si>
  <si>
    <t>Deferred Costs - SMP</t>
  </si>
  <si>
    <t>Accrued Liabilities - Trade</t>
  </si>
  <si>
    <t>Accrued Liabilities - Employee</t>
  </si>
  <si>
    <t>Accrued Liabilities - GST/PST</t>
  </si>
  <si>
    <t>Other Accrued Liabilities</t>
  </si>
  <si>
    <t>Accrued Interest Payable</t>
  </si>
  <si>
    <t>Deferred Revenue</t>
  </si>
  <si>
    <t>Prepaid Pension Expense</t>
  </si>
  <si>
    <t>Other Long Term Liabilities</t>
  </si>
  <si>
    <t>Long Term Liabilities</t>
  </si>
  <si>
    <t>Liabilities</t>
  </si>
  <si>
    <t>Equity</t>
  </si>
  <si>
    <t>RE - SME Funding</t>
  </si>
  <si>
    <t>RE - Fines &amp; Penalties</t>
  </si>
  <si>
    <t>Customer Education Fund</t>
  </si>
  <si>
    <t>OPA Funding</t>
  </si>
  <si>
    <t>Other Comprehensive Income</t>
  </si>
  <si>
    <t>Liabilities &amp; Equity</t>
  </si>
  <si>
    <t>Amortization - MDMR</t>
  </si>
  <si>
    <t>Net Income for Period</t>
  </si>
  <si>
    <t>Adjustments for Non-Cash Items</t>
  </si>
  <si>
    <t>Changes in Non-Cash Operations items</t>
  </si>
  <si>
    <t>Operating Activities</t>
  </si>
  <si>
    <t>Change in Long Term Investments</t>
  </si>
  <si>
    <t>Change in CIP</t>
  </si>
  <si>
    <t>Change in Fixed Assets in Service</t>
  </si>
  <si>
    <t>Change in Deferred Assets</t>
  </si>
  <si>
    <t>Change in Goodwill and InTangible Assets</t>
  </si>
  <si>
    <t>Investing Activities</t>
  </si>
  <si>
    <t>Issue of long term debt</t>
  </si>
  <si>
    <t>Financing Activities</t>
  </si>
  <si>
    <t>Net Change in Cash Flow</t>
  </si>
  <si>
    <t>Change in Cash &amp; Cash Equivalents</t>
  </si>
  <si>
    <t>Prodac vs GL</t>
  </si>
  <si>
    <t>US$</t>
  </si>
  <si>
    <t>IT OM&amp;A</t>
  </si>
  <si>
    <t>CEO OM&amp;A</t>
  </si>
  <si>
    <t>GL Pull</t>
  </si>
  <si>
    <t>Prodac Pull</t>
  </si>
  <si>
    <t>Dec</t>
  </si>
  <si>
    <t>Year 2011</t>
  </si>
  <si>
    <t>Jan</t>
  </si>
  <si>
    <t>Feb</t>
  </si>
  <si>
    <t>Mar</t>
  </si>
  <si>
    <t>Trade Date 
(Deal Date)</t>
  </si>
  <si>
    <t>Settlement Date
(Value Date)</t>
  </si>
  <si>
    <t>Contract Deal Rate</t>
  </si>
  <si>
    <t>Original Deal Amount
US$</t>
  </si>
  <si>
    <t>Original Settlement Amount
CAD$</t>
  </si>
  <si>
    <t>2011 Totals</t>
  </si>
  <si>
    <t>CAP</t>
  </si>
  <si>
    <t>SMI</t>
  </si>
  <si>
    <t>EDAC &amp; OM&amp;A</t>
  </si>
  <si>
    <t>Bank of Canada Rate
(US Noon)</t>
  </si>
  <si>
    <t>Accumulated Deficit Account</t>
  </si>
  <si>
    <t>IESO Capital Projects</t>
  </si>
  <si>
    <t>January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</si>
  <si>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</si>
  <si>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</si>
  <si>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</si>
  <si>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</si>
  <si>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</si>
  <si>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</si>
  <si>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</si>
  <si>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</si>
  <si>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</si>
  <si>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Total Periods</t>
  </si>
  <si>
    <t>Budgeted Accruals</t>
  </si>
  <si>
    <t>P&amp;E</t>
  </si>
  <si>
    <t>Operating</t>
  </si>
  <si>
    <t>Projected Accruals</t>
  </si>
  <si>
    <t>total</t>
  </si>
  <si>
    <t>Total OM&amp;A - Excluding Benefits-Pension &amp; Customer Education &amp; SMI</t>
  </si>
  <si>
    <t xml:space="preserve">          Unrealized income/loss - SERP Reserve</t>
  </si>
  <si>
    <t>Change</t>
  </si>
  <si>
    <t>SMI &amp; OM&amp;A</t>
  </si>
  <si>
    <t>Intellibind 
(MACD)</t>
  </si>
  <si>
    <t>RII Projects</t>
  </si>
  <si>
    <t>Actual YTD</t>
  </si>
  <si>
    <t>Budget YTD</t>
  </si>
  <si>
    <t>Projection YTD</t>
  </si>
  <si>
    <t>Periods</t>
  </si>
  <si>
    <t>PSAB Adjustment</t>
  </si>
  <si>
    <t>Actual month</t>
  </si>
  <si>
    <t>Budget month</t>
  </si>
  <si>
    <t>Projection month</t>
  </si>
  <si>
    <t>MACD OM&amp;A</t>
  </si>
  <si>
    <t>Intellibind</t>
  </si>
  <si>
    <t>Year 2012</t>
  </si>
  <si>
    <t>Feb YTD</t>
  </si>
  <si>
    <t>Market-related Investment Income</t>
  </si>
  <si>
    <t>Jan YTD</t>
  </si>
  <si>
    <t>Feb Report</t>
  </si>
  <si>
    <t>Jan c.Report</t>
  </si>
  <si>
    <t>Feb c.Report</t>
  </si>
  <si>
    <t>YEAR-TO-DATE</t>
  </si>
  <si>
    <t>Interest - Line of Credit</t>
  </si>
  <si>
    <t>Interest - OEFC Debt</t>
  </si>
  <si>
    <t>Interest - Capitalized Interest offset</t>
  </si>
  <si>
    <t>Realized Exchange gain/loss</t>
  </si>
  <si>
    <t>Unrealized Exchange gain/loss</t>
  </si>
  <si>
    <t>Financing Charges</t>
  </si>
  <si>
    <t>Investment Interest Income</t>
  </si>
  <si>
    <t>Investment Interest Income-US$</t>
  </si>
  <si>
    <t>Income - SERP Reserve</t>
  </si>
  <si>
    <t>Unrealized income/loss - SERP Reserve</t>
  </si>
  <si>
    <t>SMI Interest</t>
  </si>
  <si>
    <t>Investment &amp; Other Income</t>
  </si>
  <si>
    <t xml:space="preserve">PSAB Transition Items </t>
  </si>
  <si>
    <t>Transition Items Remaining</t>
  </si>
  <si>
    <t>Amortized Over</t>
  </si>
  <si>
    <t>Accumulated pension actuarial loss</t>
  </si>
  <si>
    <t xml:space="preserve">Accumulated OPEB actuarial loss </t>
  </si>
  <si>
    <t>Pension past service costs</t>
  </si>
  <si>
    <t>OPEB past service costs</t>
  </si>
  <si>
    <t>PSAB Transition Items Related to Pension</t>
  </si>
  <si>
    <t>Cummulative sick leave accrual</t>
  </si>
  <si>
    <t>Total PSAB Transition Items</t>
  </si>
  <si>
    <t>* amortized over EARSL</t>
  </si>
  <si>
    <t>IESO Fees</t>
  </si>
  <si>
    <t>Cost Recovery Fees</t>
  </si>
  <si>
    <t>Market-Related Investment Income</t>
  </si>
  <si>
    <t>Market Fines and Penalties</t>
  </si>
  <si>
    <t xml:space="preserve">               Liabilities</t>
  </si>
  <si>
    <t xml:space="preserve">     Meter Data Mgmt/Repository</t>
  </si>
  <si>
    <t xml:space="preserve">     Accum. Amortization MDMR</t>
  </si>
  <si>
    <t xml:space="preserve">                    Assets</t>
  </si>
  <si>
    <t>Proj</t>
  </si>
  <si>
    <t>Start</t>
  </si>
  <si>
    <t>2011 Amm</t>
  </si>
  <si>
    <t>2012 Start</t>
  </si>
  <si>
    <t>2012 Amm</t>
  </si>
  <si>
    <t>2012 End</t>
  </si>
  <si>
    <t xml:space="preserve">     Smart Meter Surplus/(Deficit) for the period</t>
  </si>
  <si>
    <t>5001 2000            Operations Balancing Unit</t>
  </si>
  <si>
    <t xml:space="preserve">          Cash &amp; Cash Equivalents</t>
  </si>
  <si>
    <t xml:space="preserve">          Accounts Receivable</t>
  </si>
  <si>
    <t xml:space="preserve">          Short Term Prepaid Expenses</t>
  </si>
  <si>
    <t xml:space="preserve">               Current Assets</t>
  </si>
  <si>
    <t xml:space="preserve">          In-service Assets</t>
  </si>
  <si>
    <t xml:space="preserve">          Accumulated Amortization</t>
  </si>
  <si>
    <t xml:space="preserve">     Market Related Project Costs</t>
  </si>
  <si>
    <t xml:space="preserve">     Other IESO Projects</t>
  </si>
  <si>
    <t xml:space="preserve">          Construction in progress</t>
  </si>
  <si>
    <t xml:space="preserve">               Capital Assets</t>
  </si>
  <si>
    <t xml:space="preserve">          Long Term Investments</t>
  </si>
  <si>
    <t xml:space="preserve">               Other Assets</t>
  </si>
  <si>
    <t xml:space="preserve">     Accrued Liabilities - Trade</t>
  </si>
  <si>
    <t xml:space="preserve">     Accrued Liabilities - Employee</t>
  </si>
  <si>
    <t xml:space="preserve">     Accrued Liabilities - GST/PST</t>
  </si>
  <si>
    <t xml:space="preserve">     Other Accrued Liabilities</t>
  </si>
  <si>
    <t xml:space="preserve">     Accrued Interest Payable</t>
  </si>
  <si>
    <t xml:space="preserve">          Current Liabilities</t>
  </si>
  <si>
    <t xml:space="preserve">     Other Long Term Liabilities</t>
  </si>
  <si>
    <t xml:space="preserve">          Long Term Liabilities</t>
  </si>
  <si>
    <t xml:space="preserve">          Short Term Investments</t>
  </si>
  <si>
    <t xml:space="preserve">          Ingantible Assets Gross</t>
  </si>
  <si>
    <t xml:space="preserve">          Accum. Amort Intangible Assets</t>
  </si>
  <si>
    <t xml:space="preserve">               Goodwill &amp; Intangible Assets</t>
  </si>
  <si>
    <t xml:space="preserve">     Deferred Revenue</t>
  </si>
  <si>
    <t xml:space="preserve">               Equity</t>
  </si>
  <si>
    <t xml:space="preserve">     RE - SME Funding</t>
  </si>
  <si>
    <t xml:space="preserve">     RE - Fines &amp; Penalties</t>
  </si>
  <si>
    <t xml:space="preserve">     Accumulated Deficit Account</t>
  </si>
  <si>
    <t xml:space="preserve">     Customer Education Fund</t>
  </si>
  <si>
    <t xml:space="preserve">     OPA Funding</t>
  </si>
  <si>
    <t xml:space="preserve">          Other Comprehensive Income</t>
  </si>
  <si>
    <t xml:space="preserve">                    Liabilities &amp; Equity</t>
  </si>
  <si>
    <t>Pension</t>
  </si>
  <si>
    <t>OPEB</t>
  </si>
  <si>
    <t>Total Pension</t>
  </si>
  <si>
    <t>Total OPEB</t>
  </si>
  <si>
    <t>Budget Amortization</t>
  </si>
  <si>
    <t>Accumulated Defecit</t>
  </si>
  <si>
    <t>Pension Liability</t>
  </si>
  <si>
    <t xml:space="preserve">     Increase in Accrued Pension Liability</t>
  </si>
  <si>
    <t>Operating Surplus/ (Deficit) for the period</t>
  </si>
  <si>
    <t xml:space="preserve">     Wholesale Market Surplus/(Deficit)</t>
  </si>
  <si>
    <t xml:space="preserve">     Smart Meter Surplus/(Deficit)</t>
  </si>
  <si>
    <t>Adjustments for Non Cash Items</t>
  </si>
  <si>
    <t>Changes in Non Cash Itemsrelated to Operations</t>
  </si>
  <si>
    <t xml:space="preserve">     Accumulated Amortization</t>
  </si>
  <si>
    <t xml:space="preserve">     Rebate to Market Participants</t>
  </si>
  <si>
    <t xml:space="preserve">     Short Term Prepaid Expenses</t>
  </si>
  <si>
    <t xml:space="preserve">     Accounts Receivable</t>
  </si>
  <si>
    <t xml:space="preserve">     Change in fair value of long-term investments</t>
  </si>
  <si>
    <t>Other</t>
  </si>
  <si>
    <t xml:space="preserve">     Contributions to Pension</t>
  </si>
  <si>
    <t xml:space="preserve">     Payment of OPEB</t>
  </si>
  <si>
    <t>27510 Reconciliation</t>
  </si>
  <si>
    <t>44000 Reconciliation</t>
  </si>
  <si>
    <t>Cash provided from Operations</t>
  </si>
  <si>
    <t>Accounts Payable &amp; Accrued Liabilities</t>
  </si>
  <si>
    <t xml:space="preserve">     Long Term Investments</t>
  </si>
  <si>
    <t xml:space="preserve">     In-service Assets</t>
  </si>
  <si>
    <t xml:space="preserve">     Construction in progress</t>
  </si>
  <si>
    <t xml:space="preserve">     Line of Credit</t>
  </si>
  <si>
    <t xml:space="preserve">     Debt - OEFC</t>
  </si>
  <si>
    <t xml:space="preserve">     ShtTerm Notes  posting</t>
  </si>
  <si>
    <t>Cash Used in Financing Activities</t>
  </si>
  <si>
    <t>NET CHANGE IN CASHFLOW</t>
  </si>
  <si>
    <t xml:space="preserve">     Cash &amp; Cash Equivalents</t>
  </si>
  <si>
    <t xml:space="preserve">     Accrued Pension Liability</t>
  </si>
  <si>
    <t>Accrued Pension Liability</t>
  </si>
  <si>
    <t>OPEB Adjustments</t>
  </si>
  <si>
    <t>Pension Adjustements</t>
  </si>
  <si>
    <t>REVENUES</t>
  </si>
  <si>
    <t>COSTS</t>
  </si>
  <si>
    <t>OM&amp;A - Program Costs</t>
  </si>
  <si>
    <t xml:space="preserve">                    Pension Adjustements</t>
  </si>
  <si>
    <t>Wholesale Market Operations - OM&amp;A</t>
  </si>
  <si>
    <t>Wholesale Market Operations - Pension</t>
  </si>
  <si>
    <t>PSAB - OPEB Adjustment</t>
  </si>
  <si>
    <t>Wholesale Market Operations - OM&amp;A Program Costs</t>
  </si>
  <si>
    <t>Wholesale Market Operations - Amortization</t>
  </si>
  <si>
    <t>Total Interest IESO</t>
  </si>
  <si>
    <t>Net Interest Wholesale</t>
  </si>
  <si>
    <t>SMI Financing Charges</t>
  </si>
  <si>
    <t xml:space="preserve">     Customer Education</t>
  </si>
  <si>
    <t>TOTAL ACCUMULATED SURPLUS / (DEFICIT)</t>
  </si>
  <si>
    <t xml:space="preserve">                    OPEB Adjustments</t>
  </si>
  <si>
    <t>Accumulated actuarial losses</t>
  </si>
  <si>
    <t>Total Pension (OM&amp;A &amp; CAP) net of PSAB</t>
  </si>
  <si>
    <t xml:space="preserve">     PSAB Adjustments</t>
  </si>
  <si>
    <t>Rebates due to market participants</t>
  </si>
  <si>
    <t xml:space="preserve">     Increase/(Decrease) in Rebates due to Market Participants</t>
  </si>
  <si>
    <t>Post Employment Benefits Accr.</t>
  </si>
  <si>
    <t>Employee Accrual-not pension</t>
  </si>
  <si>
    <t>Workers Compensation Liability</t>
  </si>
  <si>
    <t>Other LongTerm Liab posting</t>
  </si>
  <si>
    <t>OPEB Payment</t>
  </si>
  <si>
    <t>Increase in Accrual for employee future benefits</t>
  </si>
  <si>
    <t>Automate Next Year</t>
  </si>
  <si>
    <t>Budget is not loaded straight line - $2,000,000 / 12 months</t>
  </si>
  <si>
    <t>OPEB Benefits Paid (2.0M$)</t>
  </si>
  <si>
    <t>Openning Balance</t>
  </si>
  <si>
    <t>+ OPEB expense</t>
  </si>
  <si>
    <t>001</t>
  </si>
  <si>
    <t>Loaded Budget</t>
  </si>
  <si>
    <t>Combined into one account - need to split out to automate Cashflow pull</t>
  </si>
  <si>
    <t>Essbase - GL2</t>
  </si>
  <si>
    <t>REVENUE</t>
  </si>
  <si>
    <t>EXPENSES</t>
  </si>
  <si>
    <t>Notes</t>
  </si>
  <si>
    <t xml:space="preserve">   SME Program Costs</t>
  </si>
  <si>
    <t>OMA - Pension</t>
  </si>
  <si>
    <t xml:space="preserve">   SME Pension Costs</t>
  </si>
  <si>
    <t>Interest + Financing Charges</t>
  </si>
  <si>
    <t>Operating Surplus/ (Deficit)</t>
  </si>
  <si>
    <t>PAYMENTS OF OPEB</t>
  </si>
  <si>
    <t>Contribution 21.0M$</t>
  </si>
  <si>
    <t>Contribution SERP - 0.3M$</t>
  </si>
  <si>
    <t>Total Pension expense including PSAB</t>
  </si>
  <si>
    <t>Unrealized Foreign Exchange - derivatives</t>
  </si>
  <si>
    <t xml:space="preserve">     Rebates to Market Participants</t>
  </si>
  <si>
    <t>BALANCE SHEET</t>
  </si>
  <si>
    <t>Year 2013</t>
  </si>
  <si>
    <t xml:space="preserve">   Market Sanctions &amp; Payment Adjustments</t>
  </si>
  <si>
    <t xml:space="preserve">   Market Enforcement Activities </t>
  </si>
  <si>
    <t>Note Payable</t>
  </si>
  <si>
    <t>Operating Surplus for the period</t>
  </si>
  <si>
    <t xml:space="preserve">     New Org 2013</t>
  </si>
  <si>
    <t>Recovered in 2014</t>
  </si>
  <si>
    <t>Balance Year end 2014</t>
  </si>
  <si>
    <t>L</t>
  </si>
  <si>
    <t xml:space="preserve">M </t>
  </si>
  <si>
    <t>N</t>
  </si>
  <si>
    <t>O</t>
  </si>
  <si>
    <t>P</t>
  </si>
  <si>
    <t>Q</t>
  </si>
  <si>
    <t>R</t>
  </si>
  <si>
    <t>S</t>
  </si>
  <si>
    <t>T</t>
  </si>
  <si>
    <t>Market Enforcement</t>
  </si>
  <si>
    <t xml:space="preserve">  Rebates due to market participants</t>
  </si>
  <si>
    <t>New Org 2013</t>
  </si>
  <si>
    <t>Capital, SMI &amp; Cust ED &amp; Enforcement</t>
  </si>
  <si>
    <t>December YTD</t>
  </si>
  <si>
    <t>Interest</t>
  </si>
  <si>
    <t>Recovered in 2015</t>
  </si>
  <si>
    <t>Balance Year end 2015</t>
  </si>
  <si>
    <t>change</t>
  </si>
  <si>
    <t>December-14</t>
  </si>
  <si>
    <t>Adjustment (OESP Work) - PRODAC</t>
  </si>
  <si>
    <t>IESO OESP Funding</t>
  </si>
  <si>
    <t xml:space="preserve">   OESP Activities </t>
  </si>
  <si>
    <t>RE - OESP Funding</t>
  </si>
  <si>
    <t>Accumulated OESP losses</t>
  </si>
  <si>
    <t>Interest - Other</t>
  </si>
  <si>
    <t>5001 OPA TRACKING BU   Temporary</t>
  </si>
  <si>
    <t>difference</t>
  </si>
  <si>
    <t>ytd change</t>
  </si>
  <si>
    <t>current</t>
  </si>
  <si>
    <t>current I/S</t>
  </si>
  <si>
    <t>Amortized Over EARSL</t>
  </si>
  <si>
    <t>Adjustment (Enforcement Work) - PRODAC</t>
  </si>
  <si>
    <t>IESO Revenue</t>
  </si>
  <si>
    <t>OM&amp;A Pension Expense (excluding PSAB)</t>
  </si>
  <si>
    <t>OM&amp;A Pension Expense (including PSAB)</t>
  </si>
  <si>
    <t xml:space="preserve">   Investment Income</t>
  </si>
  <si>
    <t>Remeasurement Gains/(Losses)</t>
  </si>
  <si>
    <t>Year 2016</t>
  </si>
  <si>
    <t>Remeasurement gains/(losses)</t>
  </si>
  <si>
    <t>Strait Line Depreciation</t>
  </si>
  <si>
    <t>Recovery Amount</t>
  </si>
  <si>
    <t>Balance Year end 2016</t>
  </si>
  <si>
    <t>Balance Year end 2017</t>
  </si>
  <si>
    <t>Balance Year end 2018</t>
  </si>
  <si>
    <t>Balance Year end 2019</t>
  </si>
  <si>
    <t>Balance Year end 2020</t>
  </si>
  <si>
    <t>Balance Year end 2021</t>
  </si>
  <si>
    <t>Balance Year end 2022</t>
  </si>
  <si>
    <t>Balance Year end 2023</t>
  </si>
  <si>
    <t>Balance Year end 2024</t>
  </si>
  <si>
    <t>Balance Year end 2025</t>
  </si>
  <si>
    <t>Balance Year end 2026</t>
  </si>
  <si>
    <t>Balance Year end 2027</t>
  </si>
  <si>
    <t>Total SME Debt</t>
  </si>
  <si>
    <t>2016 Actual Accruals</t>
  </si>
  <si>
    <t xml:space="preserve">     Remeasurement Gains/(Losses)</t>
  </si>
  <si>
    <t>Amounts</t>
  </si>
  <si>
    <t>Year 2017</t>
  </si>
  <si>
    <t>closing 12/31/16</t>
  </si>
  <si>
    <t>Unallocated BOM Adjustment</t>
  </si>
  <si>
    <t>Unallocated OM&amp;A Adjustment</t>
  </si>
  <si>
    <t>Corporate Adjustments</t>
  </si>
  <si>
    <t xml:space="preserve">     Miscellaneous Adjustments</t>
  </si>
  <si>
    <t>Fiscal Year</t>
  </si>
  <si>
    <t>Acct Period</t>
  </si>
  <si>
    <t>System</t>
  </si>
  <si>
    <t>Reference</t>
  </si>
  <si>
    <t>Acct Unit</t>
  </si>
  <si>
    <t>Account</t>
  </si>
  <si>
    <t>Activity</t>
  </si>
  <si>
    <t>Acct Category</t>
  </si>
  <si>
    <t>Source Code</t>
  </si>
  <si>
    <t>Control Group</t>
  </si>
  <si>
    <t>Description</t>
  </si>
  <si>
    <t>Base Amount</t>
  </si>
  <si>
    <t>Posting Date</t>
  </si>
  <si>
    <t>Currency Code</t>
  </si>
  <si>
    <t>Tran Amount</t>
  </si>
  <si>
    <t>GL</t>
  </si>
  <si>
    <t>04/01/2017</t>
  </si>
  <si>
    <t>KR</t>
  </si>
  <si>
    <t>Jan-04-2017</t>
  </si>
  <si>
    <t>CAD</t>
  </si>
  <si>
    <t>Jan-01-2017</t>
  </si>
  <si>
    <t>Feb-01-2017</t>
  </si>
  <si>
    <t>Feb-11-2017</t>
  </si>
  <si>
    <t xml:space="preserve">          Regulated Assets</t>
  </si>
  <si>
    <t xml:space="preserve">     Regulated Assets</t>
  </si>
  <si>
    <t>Regulated Assets</t>
  </si>
  <si>
    <t xml:space="preserve">     Decrease/(Increase) in Regulated Assets</t>
  </si>
  <si>
    <t>cr</t>
  </si>
  <si>
    <t>dr</t>
  </si>
  <si>
    <t>Regulated asset - SME</t>
  </si>
  <si>
    <t>May YTD</t>
  </si>
  <si>
    <t>For the period ended May 2017</t>
  </si>
  <si>
    <t xml:space="preserve">     Staff Expenses</t>
  </si>
  <si>
    <t xml:space="preserve">               Account Category Total</t>
  </si>
  <si>
    <t>Benefits - Permanent</t>
  </si>
  <si>
    <t>Salaries - Permanent</t>
  </si>
  <si>
    <t xml:space="preserve">          IESO - Allowances</t>
  </si>
  <si>
    <t>Jun YTD</t>
  </si>
  <si>
    <t>Pension Adjustment - June 2017 - AUTO REVERSING</t>
  </si>
  <si>
    <t>Jun Report</t>
  </si>
  <si>
    <t>For the period ended June 2017</t>
  </si>
  <si>
    <t>As at June 30,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</si>
</sst>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00_);_(* \(#,##0.000\);_(* &quot;-&quot;??_);_(@_)"/>
    <numFmt numFmtId="168" formatCode="_-* #,##0_-;\-* #,##0_-;_-* &quot;-&quot;??_-;_-@_-"/>
    <numFmt numFmtId="169" formatCode="_(* #,##0.0000_);_(* \(#,##0.0000\);_(* &quot;-&quot;??_);_(@_)"/>
    <numFmt numFmtId="170" formatCode="_(* #,##0.00000_);_(* \(#,##0.00000\);_(* &quot;-&quot;??_);_(@_)"/>
    <numFmt numFmtId="171" formatCode="#,##0.00;\(#,##0.00\)"/>
    <numFmt numFmtId="172" formatCode="#,##0_ ;\-#,##0\ "/>
    <numFmt numFmtId="173" formatCode="0.0000"/>
    <numFmt numFmtId="174" formatCode="#,##0;\(#,##0\)"/>
    <numFmt numFmtId="175" formatCode="#,##0.000000;[Red]\-#,##0.000000"/>
    <numFmt numFmtId="176" formatCode="#,##0_ ;[Red]\-#,##0\ "/>
    <numFmt numFmtId="177" formatCode="#,##0.00000000_ ;[Red]\-#,##0.00000000\ 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i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53"/>
      <name val="Arial"/>
      <family val="2"/>
    </font>
    <font>
      <b/>
      <sz val="10"/>
      <color indexed="53"/>
      <name val="Arial"/>
      <family val="2"/>
    </font>
    <font>
      <sz val="10.5"/>
      <name val="Arial"/>
      <family val="2"/>
    </font>
    <font>
      <sz val="10.5"/>
      <color indexed="53"/>
      <name val="Arial"/>
      <family val="2"/>
    </font>
    <font>
      <sz val="11"/>
      <color indexed="53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indexed="53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 val="singleAccounting"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1"/>
      <color indexed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color rgb="FFFF0000"/>
      <name val="Arial"/>
      <family val="2"/>
    </font>
    <font>
      <sz val="8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 val="singleAccounting"/>
      <sz val="10"/>
      <name val="Calibri"/>
      <family val="2"/>
      <scheme val="minor"/>
    </font>
    <font>
      <sz val="10"/>
      <color rgb="FFFF0000"/>
      <name val="Times New Roman"/>
      <family val="1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66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rgb="FF6600CC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</font>
    <font>
      <u/>
      <sz val="10.5"/>
      <name val="Times New Roman"/>
      <family val="1"/>
    </font>
    <font>
      <u/>
      <sz val="10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9" fontId="68" fillId="0" borderId="0" applyFont="0" applyFill="0" applyBorder="0" applyAlignment="0" applyProtection="0"/>
  </cellStyleXfs>
  <cellXfs count="1268">
    <xf numFmtId="0" fontId="0" fillId="0" borderId="0" xfId="0"/>
    <xf numFmtId="0" fontId="5" fillId="0" borderId="0" xfId="0" applyFont="1"/>
    <xf numFmtId="0" fontId="6" fillId="0" borderId="0" xfId="0" applyFont="1"/>
    <xf numFmtId="0" fontId="10" fillId="0" borderId="0" xfId="0" applyFont="1" applyBorder="1" applyAlignment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/>
    <xf numFmtId="0" fontId="11" fillId="0" borderId="0" xfId="0" applyFont="1" applyBorder="1" applyAlignment="1"/>
    <xf numFmtId="165" fontId="10" fillId="0" borderId="0" xfId="1" applyNumberFormat="1" applyFont="1" applyBorder="1" applyAlignment="1"/>
    <xf numFmtId="0" fontId="13" fillId="0" borderId="0" xfId="0" applyFont="1" applyBorder="1" applyAlignment="1"/>
    <xf numFmtId="0" fontId="14" fillId="0" borderId="0" xfId="0" applyFont="1" applyBorder="1" applyAlignment="1"/>
    <xf numFmtId="0" fontId="3" fillId="0" borderId="0" xfId="0" applyFont="1"/>
    <xf numFmtId="0" fontId="13" fillId="0" borderId="0" xfId="0" applyFont="1" applyBorder="1"/>
    <xf numFmtId="164" fontId="8" fillId="0" borderId="0" xfId="1" applyFont="1" applyBorder="1" applyAlignment="1">
      <alignment horizontal="center"/>
    </xf>
    <xf numFmtId="164" fontId="12" fillId="0" borderId="0" xfId="1" applyFont="1" applyBorder="1" applyAlignment="1">
      <alignment horizontal="center"/>
    </xf>
    <xf numFmtId="164" fontId="3" fillId="0" borderId="0" xfId="1" applyFont="1"/>
    <xf numFmtId="165" fontId="8" fillId="0" borderId="0" xfId="1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165" fontId="3" fillId="0" borderId="0" xfId="1" applyNumberFormat="1" applyFont="1"/>
    <xf numFmtId="165" fontId="5" fillId="0" borderId="0" xfId="1" applyNumberFormat="1" applyFont="1"/>
    <xf numFmtId="165" fontId="7" fillId="0" borderId="0" xfId="1" applyNumberFormat="1" applyFont="1" applyBorder="1" applyAlignment="1">
      <alignment horizontal="center"/>
    </xf>
    <xf numFmtId="165" fontId="6" fillId="0" borderId="0" xfId="1" applyNumberFormat="1" applyFont="1"/>
    <xf numFmtId="166" fontId="17" fillId="0" borderId="1" xfId="1" applyNumberFormat="1" applyFont="1" applyFill="1" applyBorder="1" applyAlignment="1">
      <alignment horizontal="center"/>
    </xf>
    <xf numFmtId="166" fontId="17" fillId="2" borderId="0" xfId="1" applyNumberFormat="1" applyFont="1" applyFill="1" applyBorder="1" applyAlignment="1">
      <alignment horizontal="center"/>
    </xf>
    <xf numFmtId="166" fontId="17" fillId="0" borderId="2" xfId="1" applyNumberFormat="1" applyFont="1" applyFill="1" applyBorder="1" applyAlignment="1">
      <alignment horizontal="center"/>
    </xf>
    <xf numFmtId="166" fontId="16" fillId="0" borderId="0" xfId="0" applyNumberFormat="1" applyFont="1" applyBorder="1"/>
    <xf numFmtId="166" fontId="16" fillId="0" borderId="1" xfId="1" applyNumberFormat="1" applyFont="1" applyFill="1" applyBorder="1" applyAlignment="1">
      <alignment horizontal="center"/>
    </xf>
    <xf numFmtId="166" fontId="16" fillId="0" borderId="2" xfId="1" applyNumberFormat="1" applyFont="1" applyFill="1" applyBorder="1" applyAlignment="1">
      <alignment horizontal="center"/>
    </xf>
    <xf numFmtId="166" fontId="17" fillId="0" borderId="3" xfId="1" applyNumberFormat="1" applyFont="1" applyFill="1" applyBorder="1" applyAlignment="1">
      <alignment horizontal="center"/>
    </xf>
    <xf numFmtId="166" fontId="17" fillId="0" borderId="5" xfId="1" applyNumberFormat="1" applyFont="1" applyFill="1" applyBorder="1" applyAlignment="1">
      <alignment horizontal="center"/>
    </xf>
    <xf numFmtId="0" fontId="16" fillId="0" borderId="0" xfId="0" applyFont="1" applyBorder="1" applyAlignment="1"/>
    <xf numFmtId="165" fontId="18" fillId="0" borderId="0" xfId="1" applyNumberFormat="1" applyFont="1" applyBorder="1" applyAlignment="1"/>
    <xf numFmtId="165" fontId="17" fillId="0" borderId="0" xfId="1" applyNumberFormat="1" applyFont="1" applyBorder="1" applyAlignment="1"/>
    <xf numFmtId="166" fontId="18" fillId="0" borderId="7" xfId="1" applyNumberFormat="1" applyFont="1" applyFill="1" applyBorder="1" applyAlignment="1">
      <alignment horizontal="center"/>
    </xf>
    <xf numFmtId="166" fontId="18" fillId="0" borderId="2" xfId="1" applyNumberFormat="1" applyFont="1" applyFill="1" applyBorder="1" applyAlignment="1">
      <alignment horizontal="center"/>
    </xf>
    <xf numFmtId="166" fontId="19" fillId="0" borderId="1" xfId="1" applyNumberFormat="1" applyFont="1" applyFill="1" applyBorder="1" applyAlignment="1">
      <alignment horizontal="center"/>
    </xf>
    <xf numFmtId="165" fontId="21" fillId="0" borderId="0" xfId="1" applyNumberFormat="1" applyFont="1" applyBorder="1" applyAlignment="1"/>
    <xf numFmtId="166" fontId="21" fillId="0" borderId="2" xfId="1" applyNumberFormat="1" applyFont="1" applyFill="1" applyBorder="1" applyAlignment="1">
      <alignment horizontal="center"/>
    </xf>
    <xf numFmtId="165" fontId="16" fillId="0" borderId="0" xfId="1" applyNumberFormat="1" applyFont="1" applyBorder="1" applyAlignment="1"/>
    <xf numFmtId="166" fontId="24" fillId="0" borderId="2" xfId="1" applyNumberFormat="1" applyFont="1" applyFill="1" applyBorder="1" applyAlignment="1">
      <alignment horizontal="center"/>
    </xf>
    <xf numFmtId="165" fontId="25" fillId="0" borderId="0" xfId="1" applyNumberFormat="1" applyFont="1" applyBorder="1" applyAlignment="1"/>
    <xf numFmtId="0" fontId="18" fillId="0" borderId="0" xfId="0" applyFont="1"/>
    <xf numFmtId="0" fontId="16" fillId="0" borderId="0" xfId="0" applyFont="1"/>
    <xf numFmtId="165" fontId="4" fillId="0" borderId="0" xfId="1" applyNumberFormat="1" applyFont="1" applyBorder="1" applyAlignment="1">
      <alignment horizontal="center"/>
    </xf>
    <xf numFmtId="166" fontId="0" fillId="0" borderId="0" xfId="1" applyNumberFormat="1" applyFont="1"/>
    <xf numFmtId="166" fontId="30" fillId="0" borderId="2" xfId="1" applyNumberFormat="1" applyFont="1" applyFill="1" applyBorder="1" applyAlignment="1">
      <alignment horizontal="center"/>
    </xf>
    <xf numFmtId="164" fontId="0" fillId="0" borderId="0" xfId="1" applyFont="1"/>
    <xf numFmtId="0" fontId="5" fillId="0" borderId="0" xfId="0" quotePrefix="1" applyFont="1"/>
    <xf numFmtId="166" fontId="3" fillId="0" borderId="0" xfId="0" applyNumberFormat="1" applyFont="1"/>
    <xf numFmtId="166" fontId="0" fillId="0" borderId="0" xfId="0" applyNumberFormat="1"/>
    <xf numFmtId="166" fontId="16" fillId="2" borderId="15" xfId="1" applyNumberFormat="1" applyFont="1" applyFill="1" applyBorder="1" applyAlignment="1">
      <alignment horizontal="center"/>
    </xf>
    <xf numFmtId="166" fontId="16" fillId="2" borderId="14" xfId="1" applyNumberFormat="1" applyFont="1" applyFill="1" applyBorder="1" applyAlignment="1">
      <alignment horizontal="center"/>
    </xf>
    <xf numFmtId="166" fontId="16" fillId="2" borderId="16" xfId="1" applyNumberFormat="1" applyFont="1" applyFill="1" applyBorder="1" applyAlignment="1">
      <alignment horizontal="center"/>
    </xf>
    <xf numFmtId="166" fontId="18" fillId="0" borderId="1" xfId="1" applyNumberFormat="1" applyFont="1" applyFill="1" applyBorder="1"/>
    <xf numFmtId="166" fontId="18" fillId="0" borderId="2" xfId="1" applyNumberFormat="1" applyFont="1" applyFill="1" applyBorder="1"/>
    <xf numFmtId="0" fontId="28" fillId="0" borderId="0" xfId="0" applyFont="1" applyBorder="1" applyAlignment="1">
      <alignment horizontal="center"/>
    </xf>
    <xf numFmtId="166" fontId="29" fillId="0" borderId="2" xfId="1" applyNumberFormat="1" applyFont="1" applyFill="1" applyBorder="1" applyAlignment="1">
      <alignment horizontal="center"/>
    </xf>
    <xf numFmtId="0" fontId="29" fillId="0" borderId="0" xfId="0" applyFont="1" applyBorder="1" applyAlignment="1"/>
    <xf numFmtId="0" fontId="29" fillId="0" borderId="0" xfId="0" applyFont="1" applyBorder="1"/>
    <xf numFmtId="0" fontId="28" fillId="0" borderId="0" xfId="0" applyFont="1" applyBorder="1"/>
    <xf numFmtId="165" fontId="28" fillId="0" borderId="2" xfId="1" applyNumberFormat="1" applyFont="1" applyFill="1" applyBorder="1" applyAlignment="1">
      <alignment horizontal="center" wrapText="1"/>
    </xf>
    <xf numFmtId="165" fontId="34" fillId="0" borderId="1" xfId="1" applyNumberFormat="1" applyFont="1" applyFill="1" applyBorder="1" applyAlignment="1">
      <alignment horizontal="center"/>
    </xf>
    <xf numFmtId="165" fontId="24" fillId="0" borderId="2" xfId="1" applyNumberFormat="1" applyFont="1" applyFill="1" applyBorder="1" applyAlignment="1">
      <alignment horizontal="center"/>
    </xf>
    <xf numFmtId="166" fontId="36" fillId="0" borderId="1" xfId="1" applyNumberFormat="1" applyFont="1" applyFill="1" applyBorder="1" applyAlignment="1">
      <alignment horizontal="center"/>
    </xf>
    <xf numFmtId="166" fontId="35" fillId="0" borderId="2" xfId="1" applyNumberFormat="1" applyFont="1" applyFill="1" applyBorder="1" applyAlignment="1">
      <alignment horizontal="center"/>
    </xf>
    <xf numFmtId="166" fontId="34" fillId="0" borderId="1" xfId="1" applyNumberFormat="1" applyFont="1" applyFill="1" applyBorder="1" applyAlignment="1">
      <alignment horizontal="center"/>
    </xf>
    <xf numFmtId="166" fontId="16" fillId="0" borderId="21" xfId="1" applyNumberFormat="1" applyFont="1" applyFill="1" applyBorder="1" applyAlignment="1">
      <alignment horizontal="center"/>
    </xf>
    <xf numFmtId="166" fontId="16" fillId="2" borderId="22" xfId="1" applyNumberFormat="1" applyFont="1" applyFill="1" applyBorder="1" applyAlignment="1">
      <alignment horizontal="center"/>
    </xf>
    <xf numFmtId="166" fontId="16" fillId="0" borderId="23" xfId="1" applyNumberFormat="1" applyFont="1" applyFill="1" applyBorder="1" applyAlignment="1">
      <alignment horizontal="center"/>
    </xf>
    <xf numFmtId="165" fontId="3" fillId="0" borderId="0" xfId="1" applyNumberFormat="1" applyFont="1" applyBorder="1"/>
    <xf numFmtId="166" fontId="26" fillId="0" borderId="1" xfId="1" applyNumberFormat="1" applyFont="1" applyFill="1" applyBorder="1" applyAlignment="1">
      <alignment horizontal="center"/>
    </xf>
    <xf numFmtId="166" fontId="18" fillId="0" borderId="13" xfId="1" applyNumberFormat="1" applyFont="1" applyFill="1" applyBorder="1" applyAlignment="1">
      <alignment horizontal="center"/>
    </xf>
    <xf numFmtId="166" fontId="24" fillId="0" borderId="0" xfId="1" applyNumberFormat="1" applyFont="1" applyFill="1" applyBorder="1" applyAlignment="1">
      <alignment horizontal="center"/>
    </xf>
    <xf numFmtId="166" fontId="10" fillId="0" borderId="0" xfId="1" applyNumberFormat="1" applyFont="1" applyBorder="1" applyAlignment="1"/>
    <xf numFmtId="166" fontId="3" fillId="0" borderId="0" xfId="1" applyNumberFormat="1" applyFont="1"/>
    <xf numFmtId="166" fontId="4" fillId="0" borderId="0" xfId="1" applyNumberFormat="1" applyFont="1" applyBorder="1" applyAlignment="1">
      <alignment horizontal="center"/>
    </xf>
    <xf numFmtId="166" fontId="27" fillId="0" borderId="2" xfId="1" applyNumberFormat="1" applyFont="1" applyFill="1" applyBorder="1" applyAlignment="1">
      <alignment horizontal="center"/>
    </xf>
    <xf numFmtId="166" fontId="16" fillId="2" borderId="7" xfId="1" applyNumberFormat="1" applyFont="1" applyFill="1" applyBorder="1" applyAlignment="1">
      <alignment horizontal="center"/>
    </xf>
    <xf numFmtId="166" fontId="16" fillId="2" borderId="13" xfId="1" applyNumberFormat="1" applyFont="1" applyFill="1" applyBorder="1" applyAlignment="1">
      <alignment horizontal="center"/>
    </xf>
    <xf numFmtId="166" fontId="24" fillId="0" borderId="24" xfId="1" applyNumberFormat="1" applyFont="1" applyFill="1" applyBorder="1" applyAlignment="1">
      <alignment horizontal="center"/>
    </xf>
    <xf numFmtId="166" fontId="24" fillId="2" borderId="26" xfId="1" applyNumberFormat="1" applyFont="1" applyFill="1" applyBorder="1" applyAlignment="1"/>
    <xf numFmtId="166" fontId="23" fillId="0" borderId="25" xfId="1" applyNumberFormat="1" applyFont="1" applyFill="1" applyBorder="1" applyAlignment="1"/>
    <xf numFmtId="166" fontId="24" fillId="0" borderId="1" xfId="1" applyNumberFormat="1" applyFont="1" applyFill="1" applyBorder="1" applyAlignment="1">
      <alignment horizontal="center"/>
    </xf>
    <xf numFmtId="165" fontId="3" fillId="0" borderId="0" xfId="1" applyNumberFormat="1" applyFont="1" applyBorder="1" applyAlignment="1"/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Fill="1"/>
    <xf numFmtId="0" fontId="3" fillId="0" borderId="0" xfId="0" applyFont="1" applyFill="1"/>
    <xf numFmtId="166" fontId="3" fillId="2" borderId="0" xfId="1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center"/>
    </xf>
    <xf numFmtId="166" fontId="3" fillId="2" borderId="26" xfId="1" applyNumberFormat="1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/>
    <xf numFmtId="166" fontId="3" fillId="0" borderId="5" xfId="1" applyNumberFormat="1" applyFont="1" applyFill="1" applyBorder="1" applyAlignment="1">
      <alignment horizontal="center"/>
    </xf>
    <xf numFmtId="166" fontId="27" fillId="2" borderId="12" xfId="1" applyNumberFormat="1" applyFont="1" applyFill="1" applyBorder="1" applyAlignment="1">
      <alignment horizontal="center"/>
    </xf>
    <xf numFmtId="166" fontId="3" fillId="6" borderId="0" xfId="1" applyNumberFormat="1" applyFont="1" applyFill="1" applyBorder="1" applyAlignment="1">
      <alignment horizontal="center"/>
    </xf>
    <xf numFmtId="166" fontId="29" fillId="6" borderId="0" xfId="1" applyNumberFormat="1" applyFont="1" applyFill="1" applyBorder="1" applyAlignment="1">
      <alignment horizontal="center"/>
    </xf>
    <xf numFmtId="166" fontId="3" fillId="0" borderId="3" xfId="1" applyNumberFormat="1" applyFont="1" applyFill="1" applyBorder="1" applyAlignment="1">
      <alignment horizontal="center"/>
    </xf>
    <xf numFmtId="166" fontId="16" fillId="0" borderId="9" xfId="1" applyNumberFormat="1" applyFont="1" applyFill="1" applyBorder="1" applyAlignment="1">
      <alignment horizontal="center"/>
    </xf>
    <xf numFmtId="166" fontId="16" fillId="0" borderId="10" xfId="1" applyNumberFormat="1" applyFont="1" applyFill="1" applyBorder="1" applyAlignment="1">
      <alignment horizontal="center"/>
    </xf>
    <xf numFmtId="166" fontId="16" fillId="0" borderId="2" xfId="1" applyNumberFormat="1" applyFont="1" applyBorder="1"/>
    <xf numFmtId="166" fontId="18" fillId="6" borderId="26" xfId="1" applyNumberFormat="1" applyFont="1" applyFill="1" applyBorder="1" applyAlignment="1">
      <alignment horizontal="center"/>
    </xf>
    <xf numFmtId="166" fontId="16" fillId="0" borderId="14" xfId="1" applyNumberFormat="1" applyFont="1" applyFill="1" applyBorder="1" applyAlignment="1">
      <alignment horizontal="center"/>
    </xf>
    <xf numFmtId="166" fontId="16" fillId="0" borderId="16" xfId="1" applyNumberFormat="1" applyFont="1" applyFill="1" applyBorder="1" applyAlignment="1">
      <alignment horizontal="center"/>
    </xf>
    <xf numFmtId="166" fontId="16" fillId="2" borderId="26" xfId="1" applyNumberFormat="1" applyFont="1" applyFill="1" applyBorder="1" applyAlignment="1"/>
    <xf numFmtId="166" fontId="17" fillId="6" borderId="0" xfId="1" applyNumberFormat="1" applyFont="1" applyFill="1" applyBorder="1" applyAlignment="1">
      <alignment horizontal="center"/>
    </xf>
    <xf numFmtId="0" fontId="39" fillId="0" borderId="0" xfId="0" applyFont="1"/>
    <xf numFmtId="164" fontId="39" fillId="0" borderId="0" xfId="1" applyFont="1"/>
    <xf numFmtId="0" fontId="39" fillId="0" borderId="0" xfId="0" applyFont="1" applyFill="1"/>
    <xf numFmtId="0" fontId="39" fillId="0" borderId="0" xfId="0" quotePrefix="1" applyFont="1"/>
    <xf numFmtId="166" fontId="39" fillId="0" borderId="0" xfId="1" applyNumberFormat="1" applyFont="1" applyAlignment="1">
      <alignment horizontal="right"/>
    </xf>
    <xf numFmtId="168" fontId="39" fillId="0" borderId="0" xfId="1" applyNumberFormat="1" applyFont="1" applyAlignment="1">
      <alignment horizontal="right"/>
    </xf>
    <xf numFmtId="166" fontId="39" fillId="7" borderId="0" xfId="1" applyNumberFormat="1" applyFont="1" applyFill="1" applyAlignment="1">
      <alignment horizontal="right"/>
    </xf>
    <xf numFmtId="0" fontId="40" fillId="0" borderId="0" xfId="0" applyFont="1"/>
    <xf numFmtId="166" fontId="39" fillId="0" borderId="0" xfId="1" applyNumberFormat="1" applyFont="1" applyBorder="1" applyAlignment="1">
      <alignment horizontal="right"/>
    </xf>
    <xf numFmtId="166" fontId="39" fillId="0" borderId="0" xfId="1" applyNumberFormat="1" applyFont="1"/>
    <xf numFmtId="0" fontId="40" fillId="11" borderId="8" xfId="0" applyFont="1" applyFill="1" applyBorder="1"/>
    <xf numFmtId="166" fontId="40" fillId="11" borderId="8" xfId="1" applyNumberFormat="1" applyFont="1" applyFill="1" applyBorder="1" applyAlignment="1">
      <alignment horizontal="right"/>
    </xf>
    <xf numFmtId="166" fontId="39" fillId="0" borderId="0" xfId="0" applyNumberFormat="1" applyFont="1"/>
    <xf numFmtId="164" fontId="39" fillId="0" borderId="0" xfId="1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66" fontId="39" fillId="0" borderId="0" xfId="1" applyNumberFormat="1" applyFont="1" applyFill="1" applyAlignment="1">
      <alignment horizontal="center"/>
    </xf>
    <xf numFmtId="0" fontId="39" fillId="0" borderId="0" xfId="0" applyFont="1" applyFill="1" applyAlignment="1">
      <alignment horizontal="right"/>
    </xf>
    <xf numFmtId="166" fontId="39" fillId="0" borderId="0" xfId="1" applyNumberFormat="1" applyFont="1" applyFill="1" applyAlignment="1">
      <alignment horizontal="right"/>
    </xf>
    <xf numFmtId="166" fontId="39" fillId="0" borderId="4" xfId="1" applyNumberFormat="1" applyFont="1" applyFill="1" applyBorder="1" applyAlignment="1">
      <alignment horizontal="right"/>
    </xf>
    <xf numFmtId="166" fontId="39" fillId="11" borderId="8" xfId="1" applyNumberFormat="1" applyFont="1" applyFill="1" applyBorder="1" applyAlignment="1">
      <alignment horizontal="right"/>
    </xf>
    <xf numFmtId="166" fontId="39" fillId="8" borderId="0" xfId="1" applyNumberFormat="1" applyFont="1" applyFill="1" applyAlignment="1">
      <alignment horizontal="right"/>
    </xf>
    <xf numFmtId="164" fontId="39" fillId="0" borderId="0" xfId="1" applyFont="1" applyFill="1"/>
    <xf numFmtId="166" fontId="41" fillId="0" borderId="0" xfId="1" applyNumberFormat="1" applyFont="1" applyAlignment="1">
      <alignment horizontal="right"/>
    </xf>
    <xf numFmtId="166" fontId="40" fillId="13" borderId="8" xfId="1" applyNumberFormat="1" applyFont="1" applyFill="1" applyBorder="1" applyAlignment="1">
      <alignment horizontal="right"/>
    </xf>
    <xf numFmtId="164" fontId="39" fillId="0" borderId="0" xfId="1" applyFont="1" applyAlignment="1">
      <alignment horizontal="center"/>
    </xf>
    <xf numFmtId="0" fontId="39" fillId="0" borderId="0" xfId="0" applyFont="1" applyBorder="1"/>
    <xf numFmtId="166" fontId="40" fillId="0" borderId="0" xfId="1" applyNumberFormat="1" applyFont="1" applyBorder="1" applyAlignment="1">
      <alignment horizontal="right"/>
    </xf>
    <xf numFmtId="38" fontId="40" fillId="0" borderId="0" xfId="0" applyNumberFormat="1" applyFont="1" applyFill="1" applyAlignment="1">
      <alignment horizontal="center"/>
    </xf>
    <xf numFmtId="166" fontId="40" fillId="0" borderId="0" xfId="1" applyNumberFormat="1" applyFont="1" applyFill="1" applyAlignment="1">
      <alignment horizontal="center"/>
    </xf>
    <xf numFmtId="174" fontId="39" fillId="0" borderId="0" xfId="1" applyNumberFormat="1" applyFont="1" applyFill="1" applyAlignment="1">
      <alignment horizontal="right"/>
    </xf>
    <xf numFmtId="38" fontId="39" fillId="0" borderId="0" xfId="0" applyNumberFormat="1" applyFont="1" applyFill="1"/>
    <xf numFmtId="166" fontId="39" fillId="0" borderId="0" xfId="0" applyNumberFormat="1" applyFont="1" applyFill="1"/>
    <xf numFmtId="166" fontId="40" fillId="0" borderId="0" xfId="0" applyNumberFormat="1" applyFont="1" applyFill="1"/>
    <xf numFmtId="38" fontId="40" fillId="0" borderId="0" xfId="0" applyNumberFormat="1" applyFont="1" applyFill="1"/>
    <xf numFmtId="0" fontId="40" fillId="0" borderId="0" xfId="0" applyFont="1" applyFill="1"/>
    <xf numFmtId="166" fontId="39" fillId="0" borderId="0" xfId="1" applyNumberFormat="1" applyFont="1" applyFill="1"/>
    <xf numFmtId="0" fontId="39" fillId="16" borderId="0" xfId="0" applyFont="1" applyFill="1"/>
    <xf numFmtId="0" fontId="39" fillId="0" borderId="0" xfId="0" applyFont="1" applyAlignment="1">
      <alignment horizontal="center"/>
    </xf>
    <xf numFmtId="166" fontId="40" fillId="0" borderId="0" xfId="1" applyNumberFormat="1" applyFont="1" applyAlignment="1">
      <alignment horizontal="center"/>
    </xf>
    <xf numFmtId="174" fontId="39" fillId="0" borderId="0" xfId="1" applyNumberFormat="1" applyFont="1" applyAlignment="1">
      <alignment horizontal="right"/>
    </xf>
    <xf numFmtId="174" fontId="39" fillId="7" borderId="0" xfId="1" applyNumberFormat="1" applyFont="1" applyFill="1" applyAlignment="1">
      <alignment horizontal="right"/>
    </xf>
    <xf numFmtId="174" fontId="39" fillId="4" borderId="0" xfId="1" applyNumberFormat="1" applyFont="1" applyFill="1" applyAlignment="1">
      <alignment horizontal="right"/>
    </xf>
    <xf numFmtId="0" fontId="40" fillId="0" borderId="8" xfId="0" applyFont="1" applyBorder="1" applyAlignment="1">
      <alignment horizontal="right"/>
    </xf>
    <xf numFmtId="164" fontId="40" fillId="0" borderId="8" xfId="0" applyNumberFormat="1" applyFont="1" applyBorder="1"/>
    <xf numFmtId="164" fontId="39" fillId="0" borderId="0" xfId="0" applyNumberFormat="1" applyFont="1"/>
    <xf numFmtId="174" fontId="39" fillId="17" borderId="0" xfId="0" applyNumberFormat="1" applyFont="1" applyFill="1" applyAlignment="1">
      <alignment horizontal="right"/>
    </xf>
    <xf numFmtId="174" fontId="39" fillId="10" borderId="0" xfId="0" applyNumberFormat="1" applyFont="1" applyFill="1" applyAlignment="1">
      <alignment horizontal="right"/>
    </xf>
    <xf numFmtId="174" fontId="39" fillId="10" borderId="0" xfId="0" applyNumberFormat="1" applyFont="1" applyFill="1" applyBorder="1" applyAlignment="1">
      <alignment horizontal="right"/>
    </xf>
    <xf numFmtId="174" fontId="39" fillId="18" borderId="0" xfId="1" applyNumberFormat="1" applyFont="1" applyFill="1" applyAlignment="1">
      <alignment horizontal="right"/>
    </xf>
    <xf numFmtId="174" fontId="39" fillId="18" borderId="0" xfId="0" applyNumberFormat="1" applyFont="1" applyFill="1" applyAlignment="1">
      <alignment horizontal="right"/>
    </xf>
    <xf numFmtId="174" fontId="40" fillId="18" borderId="8" xfId="0" applyNumberFormat="1" applyFont="1" applyFill="1" applyBorder="1" applyAlignment="1">
      <alignment horizontal="right"/>
    </xf>
    <xf numFmtId="174" fontId="40" fillId="19" borderId="8" xfId="0" applyNumberFormat="1" applyFont="1" applyFill="1" applyBorder="1" applyAlignment="1">
      <alignment horizontal="right"/>
    </xf>
    <xf numFmtId="174" fontId="40" fillId="20" borderId="8" xfId="0" applyNumberFormat="1" applyFont="1" applyFill="1" applyBorder="1" applyAlignment="1">
      <alignment horizontal="right"/>
    </xf>
    <xf numFmtId="174" fontId="40" fillId="14" borderId="8" xfId="0" applyNumberFormat="1" applyFont="1" applyFill="1" applyBorder="1" applyAlignment="1">
      <alignment horizontal="right"/>
    </xf>
    <xf numFmtId="174" fontId="39" fillId="15" borderId="0" xfId="1" applyNumberFormat="1" applyFont="1" applyFill="1" applyAlignment="1">
      <alignment horizontal="right"/>
    </xf>
    <xf numFmtId="174" fontId="39" fillId="15" borderId="0" xfId="0" applyNumberFormat="1" applyFont="1" applyFill="1" applyAlignment="1">
      <alignment horizontal="right"/>
    </xf>
    <xf numFmtId="165" fontId="15" fillId="0" borderId="0" xfId="1" applyNumberFormat="1" applyFont="1" applyAlignment="1"/>
    <xf numFmtId="170" fontId="36" fillId="0" borderId="1" xfId="1" applyNumberFormat="1" applyFont="1" applyFill="1" applyBorder="1" applyAlignment="1">
      <alignment horizontal="center"/>
    </xf>
    <xf numFmtId="170" fontId="34" fillId="0" borderId="1" xfId="1" applyNumberFormat="1" applyFont="1" applyFill="1" applyBorder="1" applyAlignment="1">
      <alignment horizontal="center"/>
    </xf>
    <xf numFmtId="166" fontId="17" fillId="0" borderId="3" xfId="1" applyNumberFormat="1" applyFont="1" applyBorder="1"/>
    <xf numFmtId="165" fontId="5" fillId="0" borderId="0" xfId="1" applyNumberFormat="1" applyFont="1" applyAlignment="1"/>
    <xf numFmtId="164" fontId="39" fillId="0" borderId="0" xfId="3" applyFont="1" applyAlignment="1">
      <alignment horizontal="center"/>
    </xf>
    <xf numFmtId="166" fontId="18" fillId="6" borderId="0" xfId="1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right"/>
    </xf>
    <xf numFmtId="166" fontId="39" fillId="0" borderId="0" xfId="1" quotePrefix="1" applyNumberFormat="1" applyFont="1" applyAlignment="1">
      <alignment horizontal="right"/>
    </xf>
    <xf numFmtId="164" fontId="39" fillId="0" borderId="0" xfId="3" quotePrefix="1" applyFont="1" applyAlignment="1">
      <alignment horizontal="center"/>
    </xf>
    <xf numFmtId="0" fontId="39" fillId="0" borderId="0" xfId="0" quotePrefix="1" applyFont="1" applyAlignment="1">
      <alignment horizontal="center"/>
    </xf>
    <xf numFmtId="166" fontId="39" fillId="0" borderId="0" xfId="1" quotePrefix="1" applyNumberFormat="1" applyFont="1" applyAlignment="1">
      <alignment horizontal="center"/>
    </xf>
    <xf numFmtId="166" fontId="39" fillId="7" borderId="0" xfId="1" quotePrefix="1" applyNumberFormat="1" applyFont="1" applyFill="1" applyAlignment="1">
      <alignment horizontal="right"/>
    </xf>
    <xf numFmtId="0" fontId="40" fillId="0" borderId="0" xfId="0" quotePrefix="1" applyFont="1"/>
    <xf numFmtId="166" fontId="39" fillId="0" borderId="0" xfId="1" quotePrefix="1" applyNumberFormat="1" applyFont="1" applyFill="1" applyAlignment="1">
      <alignment horizontal="right"/>
    </xf>
    <xf numFmtId="164" fontId="39" fillId="0" borderId="0" xfId="1" quotePrefix="1" applyFont="1"/>
    <xf numFmtId="164" fontId="39" fillId="0" borderId="0" xfId="1" quotePrefix="1" applyFont="1" applyAlignment="1">
      <alignment horizontal="center"/>
    </xf>
    <xf numFmtId="166" fontId="39" fillId="0" borderId="0" xfId="1" quotePrefix="1" applyNumberFormat="1" applyFont="1" applyFill="1" applyBorder="1" applyAlignment="1">
      <alignment horizontal="right"/>
    </xf>
    <xf numFmtId="174" fontId="39" fillId="20" borderId="0" xfId="1" quotePrefix="1" applyNumberFormat="1" applyFont="1" applyFill="1" applyAlignment="1">
      <alignment horizontal="right"/>
    </xf>
    <xf numFmtId="174" fontId="39" fillId="0" borderId="0" xfId="1" quotePrefix="1" applyNumberFormat="1" applyFont="1" applyFill="1" applyAlignment="1">
      <alignment horizontal="right"/>
    </xf>
    <xf numFmtId="171" fontId="39" fillId="0" borderId="0" xfId="0" quotePrefix="1" applyNumberFormat="1" applyFont="1"/>
    <xf numFmtId="174" fontId="39" fillId="0" borderId="0" xfId="1" quotePrefix="1" applyNumberFormat="1" applyFont="1" applyAlignment="1">
      <alignment horizontal="right"/>
    </xf>
    <xf numFmtId="174" fontId="39" fillId="4" borderId="0" xfId="1" quotePrefix="1" applyNumberFormat="1" applyFont="1" applyFill="1" applyAlignment="1">
      <alignment horizontal="right"/>
    </xf>
    <xf numFmtId="0" fontId="16" fillId="0" borderId="0" xfId="0" quotePrefix="1" applyFont="1" applyBorder="1" applyAlignment="1">
      <alignment horizontal="center"/>
    </xf>
    <xf numFmtId="165" fontId="33" fillId="0" borderId="1" xfId="1" quotePrefix="1" applyNumberFormat="1" applyFont="1" applyFill="1" applyBorder="1" applyAlignment="1">
      <alignment horizontal="center" wrapText="1"/>
    </xf>
    <xf numFmtId="165" fontId="28" fillId="0" borderId="1" xfId="1" quotePrefix="1" applyNumberFormat="1" applyFont="1" applyFill="1" applyBorder="1" applyAlignment="1">
      <alignment horizontal="center" wrapText="1"/>
    </xf>
    <xf numFmtId="0" fontId="16" fillId="0" borderId="0" xfId="0" quotePrefix="1" applyFont="1" applyBorder="1"/>
    <xf numFmtId="166" fontId="16" fillId="0" borderId="0" xfId="0" quotePrefix="1" applyNumberFormat="1" applyFont="1" applyBorder="1"/>
    <xf numFmtId="166" fontId="3" fillId="0" borderId="0" xfId="0" quotePrefix="1" applyNumberFormat="1" applyFont="1" applyBorder="1"/>
    <xf numFmtId="0" fontId="3" fillId="0" borderId="0" xfId="0" quotePrefix="1" applyFont="1"/>
    <xf numFmtId="0" fontId="43" fillId="0" borderId="0" xfId="0" applyFont="1" applyBorder="1" applyAlignment="1"/>
    <xf numFmtId="0" fontId="43" fillId="0" borderId="0" xfId="0" applyFont="1"/>
    <xf numFmtId="166" fontId="16" fillId="0" borderId="14" xfId="1" applyNumberFormat="1" applyFont="1" applyFill="1" applyBorder="1" applyAlignment="1"/>
    <xf numFmtId="166" fontId="3" fillId="0" borderId="3" xfId="1" applyNumberFormat="1" applyFont="1" applyBorder="1"/>
    <xf numFmtId="166" fontId="39" fillId="0" borderId="4" xfId="1" quotePrefix="1" applyNumberFormat="1" applyFont="1" applyFill="1" applyBorder="1" applyAlignment="1">
      <alignment horizontal="right"/>
    </xf>
    <xf numFmtId="166" fontId="40" fillId="0" borderId="8" xfId="1" quotePrefix="1" applyNumberFormat="1" applyFont="1" applyFill="1" applyBorder="1" applyAlignment="1">
      <alignment horizontal="right"/>
    </xf>
    <xf numFmtId="174" fontId="39" fillId="7" borderId="0" xfId="1" quotePrefix="1" applyNumberFormat="1" applyFont="1" applyFill="1" applyAlignment="1">
      <alignment horizontal="right"/>
    </xf>
    <xf numFmtId="0" fontId="44" fillId="9" borderId="0" xfId="0" applyFont="1" applyFill="1" applyBorder="1" applyAlignment="1">
      <alignment horizontal="center" wrapText="1"/>
    </xf>
    <xf numFmtId="0" fontId="39" fillId="9" borderId="0" xfId="0" applyFont="1" applyFill="1" applyAlignment="1">
      <alignment horizontal="center"/>
    </xf>
    <xf numFmtId="0" fontId="39" fillId="9" borderId="0" xfId="0" applyFont="1" applyFill="1" applyBorder="1" applyAlignment="1">
      <alignment horizontal="center"/>
    </xf>
    <xf numFmtId="15" fontId="40" fillId="9" borderId="8" xfId="0" applyNumberFormat="1" applyFont="1" applyFill="1" applyBorder="1" applyAlignment="1">
      <alignment horizontal="center"/>
    </xf>
    <xf numFmtId="172" fontId="40" fillId="9" borderId="8" xfId="0" applyNumberFormat="1" applyFont="1" applyFill="1" applyBorder="1" applyAlignment="1">
      <alignment horizontal="center"/>
    </xf>
    <xf numFmtId="0" fontId="45" fillId="0" borderId="34" xfId="5" applyFont="1" applyBorder="1" applyAlignment="1">
      <alignment horizontal="center"/>
    </xf>
    <xf numFmtId="0" fontId="45" fillId="5" borderId="34" xfId="5" applyFont="1" applyFill="1" applyBorder="1" applyAlignment="1">
      <alignment horizontal="center"/>
    </xf>
    <xf numFmtId="0" fontId="45" fillId="0" borderId="34" xfId="5" applyFont="1" applyFill="1" applyBorder="1" applyAlignment="1">
      <alignment horizontal="center"/>
    </xf>
    <xf numFmtId="0" fontId="45" fillId="0" borderId="34" xfId="5" applyFont="1" applyBorder="1" applyAlignment="1">
      <alignment horizontal="left"/>
    </xf>
    <xf numFmtId="168" fontId="39" fillId="0" borderId="34" xfId="6" applyNumberFormat="1" applyFont="1" applyFill="1" applyBorder="1"/>
    <xf numFmtId="168" fontId="46" fillId="5" borderId="34" xfId="1" applyNumberFormat="1" applyFont="1" applyFill="1" applyBorder="1"/>
    <xf numFmtId="0" fontId="45" fillId="0" borderId="34" xfId="5" applyFont="1" applyBorder="1"/>
    <xf numFmtId="168" fontId="46" fillId="0" borderId="34" xfId="1" applyNumberFormat="1" applyFont="1" applyFill="1" applyBorder="1"/>
    <xf numFmtId="0" fontId="46" fillId="0" borderId="34" xfId="5" applyFont="1" applyFill="1" applyBorder="1"/>
    <xf numFmtId="168" fontId="39" fillId="0" borderId="34" xfId="1" applyNumberFormat="1" applyFont="1" applyFill="1" applyBorder="1"/>
    <xf numFmtId="0" fontId="45" fillId="0" borderId="35" xfId="5" applyFont="1" applyBorder="1"/>
    <xf numFmtId="15" fontId="39" fillId="9" borderId="0" xfId="0" applyNumberFormat="1" applyFont="1" applyFill="1" applyBorder="1" applyAlignment="1">
      <alignment horizontal="center"/>
    </xf>
    <xf numFmtId="172" fontId="39" fillId="9" borderId="0" xfId="0" applyNumberFormat="1" applyFont="1" applyFill="1" applyBorder="1" applyAlignment="1">
      <alignment horizontal="right"/>
    </xf>
    <xf numFmtId="15" fontId="39" fillId="21" borderId="0" xfId="0" applyNumberFormat="1" applyFont="1" applyFill="1" applyBorder="1" applyAlignment="1">
      <alignment horizontal="center"/>
    </xf>
    <xf numFmtId="172" fontId="40" fillId="9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168" fontId="39" fillId="0" borderId="0" xfId="1" applyNumberFormat="1" applyFont="1" applyFill="1"/>
    <xf numFmtId="168" fontId="39" fillId="0" borderId="34" xfId="0" applyNumberFormat="1" applyFont="1" applyBorder="1"/>
    <xf numFmtId="168" fontId="39" fillId="0" borderId="36" xfId="0" applyNumberFormat="1" applyFont="1" applyBorder="1"/>
    <xf numFmtId="168" fontId="39" fillId="0" borderId="0" xfId="0" applyNumberFormat="1" applyFont="1"/>
    <xf numFmtId="173" fontId="39" fillId="9" borderId="0" xfId="0" applyNumberFormat="1" applyFont="1" applyFill="1" applyAlignment="1">
      <alignment horizontal="center"/>
    </xf>
    <xf numFmtId="0" fontId="39" fillId="21" borderId="0" xfId="0" applyFont="1" applyFill="1" applyBorder="1" applyAlignment="1">
      <alignment horizontal="center" wrapText="1"/>
    </xf>
    <xf numFmtId="173" fontId="39" fillId="21" borderId="0" xfId="0" applyNumberFormat="1" applyFont="1" applyFill="1"/>
    <xf numFmtId="173" fontId="39" fillId="21" borderId="0" xfId="0" applyNumberFormat="1" applyFont="1" applyFill="1" applyBorder="1"/>
    <xf numFmtId="173" fontId="39" fillId="21" borderId="0" xfId="0" applyNumberFormat="1" applyFont="1" applyFill="1" applyBorder="1" applyAlignment="1">
      <alignment horizontal="center" wrapText="1"/>
    </xf>
    <xf numFmtId="166" fontId="46" fillId="0" borderId="34" xfId="1" applyNumberFormat="1" applyFont="1" applyBorder="1" applyAlignment="1">
      <alignment horizontal="right"/>
    </xf>
    <xf numFmtId="166" fontId="39" fillId="0" borderId="34" xfId="1" applyNumberFormat="1" applyFont="1" applyFill="1" applyBorder="1" applyAlignment="1">
      <alignment horizontal="right"/>
    </xf>
    <xf numFmtId="166" fontId="46" fillId="0" borderId="34" xfId="1" applyNumberFormat="1" applyFont="1" applyFill="1" applyBorder="1" applyAlignment="1">
      <alignment horizontal="right"/>
    </xf>
    <xf numFmtId="166" fontId="39" fillId="0" borderId="34" xfId="1" applyNumberFormat="1" applyFont="1" applyBorder="1" applyAlignment="1">
      <alignment horizontal="right"/>
    </xf>
    <xf numFmtId="166" fontId="39" fillId="0" borderId="35" xfId="1" applyNumberFormat="1" applyFont="1" applyBorder="1" applyAlignment="1">
      <alignment horizontal="right"/>
    </xf>
    <xf numFmtId="166" fontId="46" fillId="0" borderId="35" xfId="1" applyNumberFormat="1" applyFont="1" applyBorder="1" applyAlignment="1">
      <alignment horizontal="right"/>
    </xf>
    <xf numFmtId="0" fontId="45" fillId="0" borderId="30" xfId="5" applyFont="1" applyBorder="1" applyAlignment="1">
      <alignment horizontal="center"/>
    </xf>
    <xf numFmtId="0" fontId="45" fillId="0" borderId="30" xfId="5" applyFont="1" applyBorder="1" applyAlignment="1">
      <alignment horizontal="left"/>
    </xf>
    <xf numFmtId="0" fontId="45" fillId="0" borderId="30" xfId="5" applyFont="1" applyBorder="1"/>
    <xf numFmtId="0" fontId="45" fillId="0" borderId="37" xfId="5" applyFont="1" applyBorder="1"/>
    <xf numFmtId="0" fontId="40" fillId="0" borderId="0" xfId="0" applyFont="1" applyAlignment="1">
      <alignment horizontal="center"/>
    </xf>
    <xf numFmtId="168" fontId="39" fillId="0" borderId="0" xfId="0" applyNumberFormat="1" applyFont="1" applyBorder="1"/>
    <xf numFmtId="168" fontId="39" fillId="0" borderId="35" xfId="0" applyNumberFormat="1" applyFont="1" applyBorder="1"/>
    <xf numFmtId="168" fontId="39" fillId="0" borderId="35" xfId="6" applyNumberFormat="1" applyFont="1" applyFill="1" applyBorder="1"/>
    <xf numFmtId="166" fontId="39" fillId="0" borderId="39" xfId="1" applyNumberFormat="1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166" fontId="39" fillId="0" borderId="7" xfId="1" applyNumberFormat="1" applyFont="1" applyBorder="1" applyAlignment="1">
      <alignment horizontal="right"/>
    </xf>
    <xf numFmtId="166" fontId="46" fillId="0" borderId="39" xfId="1" applyNumberFormat="1" applyFont="1" applyBorder="1" applyAlignment="1">
      <alignment horizontal="right"/>
    </xf>
    <xf numFmtId="166" fontId="45" fillId="5" borderId="8" xfId="5" applyNumberFormat="1" applyFont="1" applyFill="1" applyBorder="1" applyAlignment="1">
      <alignment horizontal="center"/>
    </xf>
    <xf numFmtId="166" fontId="46" fillId="0" borderId="45" xfId="1" applyNumberFormat="1" applyFont="1" applyBorder="1" applyAlignment="1">
      <alignment horizontal="right"/>
    </xf>
    <xf numFmtId="166" fontId="46" fillId="0" borderId="46" xfId="1" applyNumberFormat="1" applyFont="1" applyBorder="1" applyAlignment="1">
      <alignment horizontal="right"/>
    </xf>
    <xf numFmtId="0" fontId="40" fillId="12" borderId="11" xfId="0" applyFont="1" applyFill="1" applyBorder="1" applyAlignment="1">
      <alignment horizontal="center"/>
    </xf>
    <xf numFmtId="0" fontId="40" fillId="12" borderId="32" xfId="0" applyFont="1" applyFill="1" applyBorder="1" applyAlignment="1">
      <alignment horizontal="center"/>
    </xf>
    <xf numFmtId="166" fontId="40" fillId="12" borderId="7" xfId="1" applyNumberFormat="1" applyFont="1" applyFill="1" applyBorder="1" applyAlignment="1">
      <alignment horizontal="right"/>
    </xf>
    <xf numFmtId="168" fontId="40" fillId="12" borderId="43" xfId="6" applyNumberFormat="1" applyFont="1" applyFill="1" applyBorder="1"/>
    <xf numFmtId="168" fontId="40" fillId="12" borderId="44" xfId="6" applyNumberFormat="1" applyFont="1" applyFill="1" applyBorder="1"/>
    <xf numFmtId="0" fontId="40" fillId="0" borderId="1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168" fontId="39" fillId="0" borderId="45" xfId="0" applyNumberFormat="1" applyFont="1" applyBorder="1"/>
    <xf numFmtId="168" fontId="39" fillId="0" borderId="46" xfId="0" applyNumberFormat="1" applyFont="1" applyBorder="1"/>
    <xf numFmtId="168" fontId="39" fillId="0" borderId="42" xfId="0" applyNumberFormat="1" applyFont="1" applyBorder="1"/>
    <xf numFmtId="168" fontId="39" fillId="0" borderId="47" xfId="0" applyNumberFormat="1" applyFont="1" applyBorder="1"/>
    <xf numFmtId="0" fontId="40" fillId="0" borderId="40" xfId="0" applyFont="1" applyBorder="1" applyAlignment="1">
      <alignment horizontal="center"/>
    </xf>
    <xf numFmtId="166" fontId="39" fillId="0" borderId="41" xfId="1" applyNumberFormat="1" applyFont="1" applyBorder="1" applyAlignment="1">
      <alignment horizontal="right"/>
    </xf>
    <xf numFmtId="168" fontId="39" fillId="0" borderId="39" xfId="0" applyNumberFormat="1" applyFont="1" applyBorder="1"/>
    <xf numFmtId="168" fontId="39" fillId="0" borderId="41" xfId="0" applyNumberFormat="1" applyFont="1" applyBorder="1"/>
    <xf numFmtId="0" fontId="40" fillId="15" borderId="34" xfId="0" applyFont="1" applyFill="1" applyBorder="1" applyAlignment="1">
      <alignment horizontal="center"/>
    </xf>
    <xf numFmtId="168" fontId="39" fillId="15" borderId="34" xfId="0" applyNumberFormat="1" applyFont="1" applyFill="1" applyBorder="1"/>
    <xf numFmtId="166" fontId="39" fillId="15" borderId="34" xfId="0" applyNumberFormat="1" applyFont="1" applyFill="1" applyBorder="1"/>
    <xf numFmtId="0" fontId="45" fillId="5" borderId="28" xfId="5" applyFont="1" applyFill="1" applyBorder="1" applyAlignment="1">
      <alignment horizontal="center"/>
    </xf>
    <xf numFmtId="166" fontId="45" fillId="5" borderId="7" xfId="5" applyNumberFormat="1" applyFont="1" applyFill="1" applyBorder="1" applyAlignment="1">
      <alignment horizontal="center"/>
    </xf>
    <xf numFmtId="166" fontId="39" fillId="15" borderId="34" xfId="1" applyNumberFormat="1" applyFont="1" applyFill="1" applyBorder="1" applyAlignment="1">
      <alignment horizontal="right"/>
    </xf>
    <xf numFmtId="0" fontId="40" fillId="15" borderId="48" xfId="0" applyFont="1" applyFill="1" applyBorder="1" applyAlignment="1">
      <alignment horizontal="center"/>
    </xf>
    <xf numFmtId="0" fontId="40" fillId="15" borderId="49" xfId="0" applyFont="1" applyFill="1" applyBorder="1" applyAlignment="1">
      <alignment horizontal="center"/>
    </xf>
    <xf numFmtId="0" fontId="40" fillId="15" borderId="50" xfId="0" applyFont="1" applyFill="1" applyBorder="1" applyAlignment="1">
      <alignment horizontal="center"/>
    </xf>
    <xf numFmtId="166" fontId="39" fillId="15" borderId="46" xfId="0" applyNumberFormat="1" applyFont="1" applyFill="1" applyBorder="1"/>
    <xf numFmtId="168" fontId="39" fillId="15" borderId="45" xfId="0" applyNumberFormat="1" applyFont="1" applyFill="1" applyBorder="1"/>
    <xf numFmtId="166" fontId="40" fillId="15" borderId="33" xfId="0" applyNumberFormat="1" applyFont="1" applyFill="1" applyBorder="1"/>
    <xf numFmtId="168" fontId="40" fillId="0" borderId="35" xfId="6" applyNumberFormat="1" applyFont="1" applyBorder="1"/>
    <xf numFmtId="168" fontId="40" fillId="5" borderId="35" xfId="6" applyNumberFormat="1" applyFont="1" applyFill="1" applyBorder="1"/>
    <xf numFmtId="0" fontId="45" fillId="13" borderId="34" xfId="5" applyFont="1" applyFill="1" applyBorder="1" applyAlignment="1">
      <alignment horizontal="center"/>
    </xf>
    <xf numFmtId="0" fontId="40" fillId="13" borderId="7" xfId="5" applyFont="1" applyFill="1" applyBorder="1" applyAlignment="1">
      <alignment horizontal="center"/>
    </xf>
    <xf numFmtId="0" fontId="45" fillId="13" borderId="39" xfId="5" applyFont="1" applyFill="1" applyBorder="1" applyAlignment="1">
      <alignment horizontal="center"/>
    </xf>
    <xf numFmtId="0" fontId="44" fillId="0" borderId="38" xfId="0" applyFont="1" applyBorder="1" applyAlignment="1">
      <alignment horizontal="center"/>
    </xf>
    <xf numFmtId="166" fontId="46" fillId="0" borderId="34" xfId="1" applyNumberFormat="1" applyFont="1" applyFill="1" applyBorder="1"/>
    <xf numFmtId="0" fontId="46" fillId="0" borderId="35" xfId="5" applyFont="1" applyFill="1" applyBorder="1"/>
    <xf numFmtId="172" fontId="39" fillId="21" borderId="0" xfId="0" applyNumberFormat="1" applyFont="1" applyFill="1" applyBorder="1" applyAlignment="1">
      <alignment horizontal="right"/>
    </xf>
    <xf numFmtId="0" fontId="47" fillId="0" borderId="0" xfId="0" applyFont="1"/>
    <xf numFmtId="168" fontId="39" fillId="0" borderId="7" xfId="5" applyNumberFormat="1" applyFont="1" applyBorder="1" applyAlignment="1">
      <alignment horizontal="center"/>
    </xf>
    <xf numFmtId="168" fontId="46" fillId="0" borderId="39" xfId="5" applyNumberFormat="1" applyFont="1" applyBorder="1" applyAlignment="1">
      <alignment horizontal="center"/>
    </xf>
    <xf numFmtId="168" fontId="46" fillId="0" borderId="45" xfId="5" applyNumberFormat="1" applyFont="1" applyBorder="1" applyAlignment="1">
      <alignment horizontal="center"/>
    </xf>
    <xf numFmtId="0" fontId="46" fillId="0" borderId="34" xfId="5" applyFont="1" applyBorder="1" applyAlignment="1">
      <alignment horizontal="center"/>
    </xf>
    <xf numFmtId="168" fontId="39" fillId="15" borderId="46" xfId="0" applyNumberFormat="1" applyFont="1" applyFill="1" applyBorder="1"/>
    <xf numFmtId="166" fontId="40" fillId="5" borderId="0" xfId="1" quotePrefix="1" applyNumberFormat="1" applyFont="1" applyFill="1" applyAlignment="1">
      <alignment horizontal="right"/>
    </xf>
    <xf numFmtId="174" fontId="39" fillId="5" borderId="0" xfId="0" applyNumberFormat="1" applyFont="1" applyFill="1" applyAlignment="1">
      <alignment horizontal="right"/>
    </xf>
    <xf numFmtId="165" fontId="3" fillId="0" borderId="0" xfId="1" applyNumberFormat="1" applyFont="1" applyFill="1" applyBorder="1" applyAlignment="1"/>
    <xf numFmtId="0" fontId="48" fillId="0" borderId="0" xfId="0" applyFont="1"/>
    <xf numFmtId="166" fontId="42" fillId="0" borderId="0" xfId="1" applyNumberFormat="1" applyFont="1" applyAlignment="1">
      <alignment horizontal="center"/>
    </xf>
    <xf numFmtId="0" fontId="48" fillId="0" borderId="0" xfId="0" applyFont="1" applyFill="1"/>
    <xf numFmtId="166" fontId="40" fillId="0" borderId="0" xfId="1" quotePrefix="1" applyNumberFormat="1" applyFont="1" applyAlignment="1">
      <alignment horizontal="left"/>
    </xf>
    <xf numFmtId="166" fontId="39" fillId="3" borderId="0" xfId="1" applyNumberFormat="1" applyFont="1" applyFill="1"/>
    <xf numFmtId="174" fontId="40" fillId="4" borderId="0" xfId="1" applyNumberFormat="1" applyFont="1" applyFill="1" applyAlignment="1">
      <alignment horizontal="right"/>
    </xf>
    <xf numFmtId="175" fontId="39" fillId="0" borderId="0" xfId="1" applyNumberFormat="1" applyFont="1" applyFill="1"/>
    <xf numFmtId="170" fontId="39" fillId="0" borderId="0" xfId="1" applyNumberFormat="1" applyFont="1" applyFill="1"/>
    <xf numFmtId="0" fontId="0" fillId="0" borderId="1" xfId="0" applyBorder="1"/>
    <xf numFmtId="0" fontId="40" fillId="13" borderId="8" xfId="0" applyFont="1" applyFill="1" applyBorder="1"/>
    <xf numFmtId="165" fontId="28" fillId="0" borderId="20" xfId="1" applyNumberFormat="1" applyFont="1" applyFill="1" applyBorder="1" applyAlignment="1">
      <alignment horizontal="center" wrapText="1"/>
    </xf>
    <xf numFmtId="174" fontId="49" fillId="17" borderId="0" xfId="0" applyNumberFormat="1" applyFont="1" applyFill="1" applyAlignment="1">
      <alignment horizontal="right"/>
    </xf>
    <xf numFmtId="166" fontId="49" fillId="0" borderId="0" xfId="0" applyNumberFormat="1" applyFont="1" applyFill="1"/>
    <xf numFmtId="0" fontId="49" fillId="0" borderId="0" xfId="0" applyFont="1" applyFill="1"/>
    <xf numFmtId="164" fontId="28" fillId="2" borderId="0" xfId="1" quotePrefix="1" applyFont="1" applyFill="1" applyBorder="1" applyAlignment="1">
      <alignment horizontal="center" wrapText="1"/>
    </xf>
    <xf numFmtId="165" fontId="28" fillId="2" borderId="0" xfId="1" quotePrefix="1" applyNumberFormat="1" applyFont="1" applyFill="1" applyBorder="1" applyAlignment="1">
      <alignment horizontal="center" wrapText="1"/>
    </xf>
    <xf numFmtId="166" fontId="16" fillId="0" borderId="1" xfId="1" quotePrefix="1" applyNumberFormat="1" applyFont="1" applyBorder="1"/>
    <xf numFmtId="0" fontId="45" fillId="13" borderId="34" xfId="5" applyFont="1" applyFill="1" applyBorder="1" applyAlignment="1">
      <alignment horizontal="center" wrapText="1"/>
    </xf>
    <xf numFmtId="168" fontId="46" fillId="5" borderId="36" xfId="1" applyNumberFormat="1" applyFont="1" applyFill="1" applyBorder="1"/>
    <xf numFmtId="168" fontId="40" fillId="0" borderId="35" xfId="6" applyNumberFormat="1" applyFont="1" applyFill="1" applyBorder="1"/>
    <xf numFmtId="15" fontId="39" fillId="0" borderId="0" xfId="0" applyNumberFormat="1" applyFont="1" applyFill="1" applyBorder="1" applyAlignment="1">
      <alignment horizontal="center"/>
    </xf>
    <xf numFmtId="172" fontId="39" fillId="0" borderId="0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center"/>
    </xf>
    <xf numFmtId="173" fontId="39" fillId="0" borderId="0" xfId="0" applyNumberFormat="1" applyFont="1" applyFill="1" applyBorder="1"/>
    <xf numFmtId="0" fontId="39" fillId="0" borderId="0" xfId="0" applyFont="1" applyFill="1" applyBorder="1"/>
    <xf numFmtId="166" fontId="39" fillId="0" borderId="0" xfId="1" applyNumberFormat="1" applyFont="1" applyFill="1" applyBorder="1" applyAlignment="1">
      <alignment horizontal="right"/>
    </xf>
    <xf numFmtId="166" fontId="39" fillId="0" borderId="0" xfId="1" applyNumberFormat="1" applyFont="1" applyBorder="1"/>
    <xf numFmtId="174" fontId="40" fillId="19" borderId="39" xfId="0" applyNumberFormat="1" applyFont="1" applyFill="1" applyBorder="1" applyAlignment="1">
      <alignment horizontal="right"/>
    </xf>
    <xf numFmtId="174" fontId="40" fillId="10" borderId="40" xfId="0" applyNumberFormat="1" applyFont="1" applyFill="1" applyBorder="1" applyAlignment="1">
      <alignment horizontal="right"/>
    </xf>
    <xf numFmtId="174" fontId="40" fillId="20" borderId="39" xfId="0" applyNumberFormat="1" applyFont="1" applyFill="1" applyBorder="1" applyAlignment="1">
      <alignment horizontal="right"/>
    </xf>
    <xf numFmtId="174" fontId="40" fillId="14" borderId="39" xfId="0" applyNumberFormat="1" applyFont="1" applyFill="1" applyBorder="1" applyAlignment="1">
      <alignment horizontal="right"/>
    </xf>
    <xf numFmtId="174" fontId="40" fillId="15" borderId="40" xfId="0" applyNumberFormat="1" applyFont="1" applyFill="1" applyBorder="1" applyAlignment="1">
      <alignment horizontal="right"/>
    </xf>
    <xf numFmtId="174" fontId="40" fillId="15" borderId="39" xfId="0" applyNumberFormat="1" applyFont="1" applyFill="1" applyBorder="1" applyAlignment="1">
      <alignment horizontal="right"/>
    </xf>
    <xf numFmtId="174" fontId="40" fillId="17" borderId="40" xfId="0" applyNumberFormat="1" applyFont="1" applyFill="1" applyBorder="1" applyAlignment="1">
      <alignment horizontal="right"/>
    </xf>
    <xf numFmtId="174" fontId="40" fillId="18" borderId="40" xfId="0" applyNumberFormat="1" applyFont="1" applyFill="1" applyBorder="1" applyAlignment="1">
      <alignment horizontal="right"/>
    </xf>
    <xf numFmtId="174" fontId="40" fillId="18" borderId="39" xfId="0" applyNumberFormat="1" applyFont="1" applyFill="1" applyBorder="1" applyAlignment="1">
      <alignment horizontal="right"/>
    </xf>
    <xf numFmtId="171" fontId="40" fillId="5" borderId="40" xfId="0" applyNumberFormat="1" applyFont="1" applyFill="1" applyBorder="1" applyAlignment="1">
      <alignment horizontal="right"/>
    </xf>
    <xf numFmtId="166" fontId="40" fillId="0" borderId="40" xfId="1" applyNumberFormat="1" applyFont="1" applyFill="1" applyBorder="1"/>
    <xf numFmtId="164" fontId="40" fillId="0" borderId="40" xfId="1" applyFont="1" applyFill="1" applyBorder="1"/>
    <xf numFmtId="38" fontId="40" fillId="0" borderId="40" xfId="0" applyNumberFormat="1" applyFont="1" applyFill="1" applyBorder="1"/>
    <xf numFmtId="166" fontId="40" fillId="22" borderId="8" xfId="1" applyNumberFormat="1" applyFont="1" applyFill="1" applyBorder="1" applyAlignment="1">
      <alignment horizontal="right"/>
    </xf>
    <xf numFmtId="166" fontId="0" fillId="0" borderId="0" xfId="1" applyNumberFormat="1" applyFont="1" applyBorder="1"/>
    <xf numFmtId="0" fontId="0" fillId="0" borderId="0" xfId="0" applyBorder="1"/>
    <xf numFmtId="166" fontId="39" fillId="0" borderId="0" xfId="1" applyNumberFormat="1" applyFont="1" applyFill="1" applyBorder="1" applyAlignment="1">
      <alignment horizontal="center"/>
    </xf>
    <xf numFmtId="166" fontId="40" fillId="0" borderId="0" xfId="1" quotePrefix="1" applyNumberFormat="1" applyFont="1" applyFill="1" applyBorder="1" applyAlignment="1">
      <alignment horizontal="right"/>
    </xf>
    <xf numFmtId="166" fontId="39" fillId="5" borderId="0" xfId="1" applyNumberFormat="1" applyFont="1" applyFill="1" applyBorder="1"/>
    <xf numFmtId="0" fontId="40" fillId="5" borderId="0" xfId="0" applyFont="1" applyFill="1" applyAlignment="1">
      <alignment horizontal="center"/>
    </xf>
    <xf numFmtId="166" fontId="39" fillId="0" borderId="0" xfId="1" quotePrefix="1" applyNumberFormat="1" applyFont="1" applyBorder="1"/>
    <xf numFmtId="173" fontId="39" fillId="21" borderId="0" xfId="0" applyNumberFormat="1" applyFont="1" applyFill="1" applyAlignment="1">
      <alignment horizontal="center"/>
    </xf>
    <xf numFmtId="168" fontId="40" fillId="12" borderId="21" xfId="6" applyNumberFormat="1" applyFont="1" applyFill="1" applyBorder="1"/>
    <xf numFmtId="166" fontId="46" fillId="0" borderId="30" xfId="1" applyNumberFormat="1" applyFont="1" applyBorder="1" applyAlignment="1">
      <alignment horizontal="right"/>
    </xf>
    <xf numFmtId="0" fontId="45" fillId="13" borderId="52" xfId="5" applyFont="1" applyFill="1" applyBorder="1" applyAlignment="1">
      <alignment horizontal="center"/>
    </xf>
    <xf numFmtId="0" fontId="45" fillId="13" borderId="53" xfId="5" applyFont="1" applyFill="1" applyBorder="1" applyAlignment="1">
      <alignment horizontal="center"/>
    </xf>
    <xf numFmtId="0" fontId="45" fillId="13" borderId="31" xfId="5" applyFont="1" applyFill="1" applyBorder="1" applyAlignment="1">
      <alignment horizontal="center"/>
    </xf>
    <xf numFmtId="0" fontId="45" fillId="13" borderId="53" xfId="5" applyFont="1" applyFill="1" applyBorder="1" applyAlignment="1">
      <alignment horizontal="center" wrapText="1"/>
    </xf>
    <xf numFmtId="168" fontId="40" fillId="12" borderId="17" xfId="6" applyNumberFormat="1" applyFont="1" applyFill="1" applyBorder="1"/>
    <xf numFmtId="166" fontId="40" fillId="5" borderId="17" xfId="1" applyNumberFormat="1" applyFont="1" applyFill="1" applyBorder="1" applyAlignment="1">
      <alignment horizontal="right"/>
    </xf>
    <xf numFmtId="168" fontId="40" fillId="15" borderId="17" xfId="6" applyNumberFormat="1" applyFont="1" applyFill="1" applyBorder="1"/>
    <xf numFmtId="173" fontId="39" fillId="21" borderId="0" xfId="0" applyNumberFormat="1" applyFont="1" applyFill="1" applyBorder="1" applyAlignment="1">
      <alignment horizontal="center"/>
    </xf>
    <xf numFmtId="164" fontId="39" fillId="0" borderId="0" xfId="0" applyNumberFormat="1" applyFont="1" applyFill="1"/>
    <xf numFmtId="166" fontId="40" fillId="0" borderId="0" xfId="0" applyNumberFormat="1" applyFont="1"/>
    <xf numFmtId="164" fontId="5" fillId="0" borderId="0" xfId="1" applyNumberFormat="1" applyFont="1"/>
    <xf numFmtId="165" fontId="16" fillId="0" borderId="28" xfId="1" quotePrefix="1" applyNumberFormat="1" applyFont="1" applyFill="1" applyBorder="1" applyAlignment="1">
      <alignment horizontal="center" wrapText="1"/>
    </xf>
    <xf numFmtId="165" fontId="16" fillId="0" borderId="20" xfId="1" quotePrefix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170" fontId="5" fillId="0" borderId="0" xfId="1" applyNumberFormat="1" applyFont="1"/>
    <xf numFmtId="167" fontId="39" fillId="0" borderId="0" xfId="0" applyNumberFormat="1" applyFont="1"/>
    <xf numFmtId="0" fontId="40" fillId="0" borderId="0" xfId="0" applyFont="1" applyFill="1" applyBorder="1"/>
    <xf numFmtId="171" fontId="39" fillId="0" borderId="0" xfId="2" applyNumberFormat="1" applyFont="1"/>
    <xf numFmtId="166" fontId="39" fillId="0" borderId="0" xfId="1" applyNumberFormat="1" applyFont="1" applyAlignment="1">
      <alignment horizontal="center"/>
    </xf>
    <xf numFmtId="0" fontId="39" fillId="7" borderId="0" xfId="0" applyFont="1" applyFill="1"/>
    <xf numFmtId="166" fontId="39" fillId="0" borderId="0" xfId="1" applyNumberFormat="1" applyFont="1" applyFill="1" applyAlignment="1">
      <alignment horizontal="left"/>
    </xf>
    <xf numFmtId="166" fontId="39" fillId="7" borderId="0" xfId="1" applyNumberFormat="1" applyFont="1" applyFill="1" applyAlignment="1">
      <alignment horizontal="left"/>
    </xf>
    <xf numFmtId="0" fontId="39" fillId="0" borderId="4" xfId="0" applyFont="1" applyFill="1" applyBorder="1"/>
    <xf numFmtId="166" fontId="39" fillId="0" borderId="4" xfId="1" applyNumberFormat="1" applyFont="1" applyFill="1" applyBorder="1" applyAlignment="1">
      <alignment horizontal="left"/>
    </xf>
    <xf numFmtId="0" fontId="40" fillId="0" borderId="8" xfId="0" applyFont="1" applyFill="1" applyBorder="1"/>
    <xf numFmtId="166" fontId="40" fillId="0" borderId="8" xfId="1" applyNumberFormat="1" applyFont="1" applyFill="1" applyBorder="1" applyAlignment="1">
      <alignment horizontal="left"/>
    </xf>
    <xf numFmtId="166" fontId="40" fillId="0" borderId="8" xfId="1" applyNumberFormat="1" applyFont="1" applyFill="1" applyBorder="1" applyAlignment="1">
      <alignment horizontal="right"/>
    </xf>
    <xf numFmtId="166" fontId="40" fillId="5" borderId="0" xfId="1" applyNumberFormat="1" applyFont="1" applyFill="1" applyAlignment="1">
      <alignment horizontal="right"/>
    </xf>
    <xf numFmtId="38" fontId="40" fillId="5" borderId="0" xfId="0" applyNumberFormat="1" applyFont="1" applyFill="1" applyAlignment="1">
      <alignment horizontal="right"/>
    </xf>
    <xf numFmtId="171" fontId="39" fillId="0" borderId="0" xfId="0" applyNumberFormat="1" applyFont="1"/>
    <xf numFmtId="165" fontId="16" fillId="0" borderId="28" xfId="1" applyNumberFormat="1" applyFont="1" applyFill="1" applyBorder="1" applyAlignment="1">
      <alignment horizontal="center" wrapText="1"/>
    </xf>
    <xf numFmtId="165" fontId="16" fillId="2" borderId="19" xfId="1" applyNumberFormat="1" applyFont="1" applyFill="1" applyBorder="1" applyAlignment="1">
      <alignment horizontal="center" wrapText="1"/>
    </xf>
    <xf numFmtId="165" fontId="16" fillId="0" borderId="20" xfId="1" applyNumberFormat="1" applyFont="1" applyFill="1" applyBorder="1" applyAlignment="1">
      <alignment horizontal="center" wrapText="1"/>
    </xf>
    <xf numFmtId="166" fontId="5" fillId="0" borderId="0" xfId="1" applyNumberFormat="1" applyFont="1" applyAlignment="1"/>
    <xf numFmtId="0" fontId="51" fillId="0" borderId="0" xfId="0" applyFont="1" applyAlignment="1">
      <alignment wrapText="1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justify" vertical="top" wrapText="1"/>
    </xf>
    <xf numFmtId="0" fontId="51" fillId="0" borderId="0" xfId="0" applyFont="1"/>
    <xf numFmtId="174" fontId="51" fillId="0" borderId="6" xfId="1" applyNumberFormat="1" applyFont="1" applyBorder="1"/>
    <xf numFmtId="166" fontId="39" fillId="4" borderId="0" xfId="1" quotePrefix="1" applyNumberFormat="1" applyFont="1" applyFill="1" applyBorder="1" applyAlignment="1">
      <alignment horizontal="right"/>
    </xf>
    <xf numFmtId="166" fontId="39" fillId="4" borderId="0" xfId="1" applyNumberFormat="1" applyFont="1" applyFill="1" applyBorder="1" applyAlignment="1">
      <alignment horizontal="right"/>
    </xf>
    <xf numFmtId="166" fontId="39" fillId="0" borderId="0" xfId="1" quotePrefix="1" applyNumberFormat="1" applyFont="1" applyBorder="1" applyAlignment="1">
      <alignment horizontal="right"/>
    </xf>
    <xf numFmtId="164" fontId="39" fillId="0" borderId="0" xfId="3" quotePrefix="1" applyFont="1" applyBorder="1" applyAlignment="1">
      <alignment horizontal="center"/>
    </xf>
    <xf numFmtId="166" fontId="39" fillId="0" borderId="0" xfId="1" quotePrefix="1" applyNumberFormat="1" applyFont="1"/>
    <xf numFmtId="166" fontId="39" fillId="4" borderId="0" xfId="1" quotePrefix="1" applyNumberFormat="1" applyFont="1" applyFill="1" applyBorder="1" applyAlignment="1">
      <alignment horizontal="left"/>
    </xf>
    <xf numFmtId="166" fontId="39" fillId="0" borderId="0" xfId="1" quotePrefix="1" applyNumberFormat="1" applyFont="1" applyFill="1" applyBorder="1" applyAlignment="1">
      <alignment horizontal="left"/>
    </xf>
    <xf numFmtId="166" fontId="39" fillId="0" borderId="0" xfId="1" quotePrefix="1" applyNumberFormat="1" applyFont="1" applyBorder="1" applyAlignment="1">
      <alignment horizontal="center"/>
    </xf>
    <xf numFmtId="0" fontId="40" fillId="0" borderId="0" xfId="0" applyFont="1" applyBorder="1" applyAlignment="1">
      <alignment horizontal="left"/>
    </xf>
    <xf numFmtId="164" fontId="39" fillId="0" borderId="0" xfId="3" quotePrefix="1" applyFont="1" applyBorder="1"/>
    <xf numFmtId="0" fontId="39" fillId="0" borderId="0" xfId="0" applyFont="1" applyBorder="1" applyAlignment="1">
      <alignment horizontal="right"/>
    </xf>
    <xf numFmtId="0" fontId="40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right"/>
    </xf>
    <xf numFmtId="0" fontId="39" fillId="0" borderId="0" xfId="0" quotePrefix="1" applyFont="1" applyFill="1" applyBorder="1"/>
    <xf numFmtId="0" fontId="39" fillId="0" borderId="0" xfId="0" quotePrefix="1" applyFont="1" applyBorder="1"/>
    <xf numFmtId="166" fontId="39" fillId="0" borderId="0" xfId="0" applyNumberFormat="1" applyFont="1" applyBorder="1" applyAlignment="1">
      <alignment horizontal="right"/>
    </xf>
    <xf numFmtId="166" fontId="39" fillId="4" borderId="0" xfId="1" quotePrefix="1" applyNumberFormat="1" applyFont="1" applyFill="1" applyBorder="1"/>
    <xf numFmtId="166" fontId="39" fillId="0" borderId="0" xfId="1" quotePrefix="1" applyNumberFormat="1" applyFont="1" applyFill="1" applyBorder="1"/>
    <xf numFmtId="166" fontId="39" fillId="7" borderId="0" xfId="1" quotePrefix="1" applyNumberFormat="1" applyFont="1" applyFill="1" applyBorder="1" applyAlignment="1">
      <alignment horizontal="right"/>
    </xf>
    <xf numFmtId="0" fontId="39" fillId="0" borderId="0" xfId="0" quotePrefix="1" applyFont="1" applyFill="1"/>
    <xf numFmtId="166" fontId="39" fillId="7" borderId="0" xfId="1" applyNumberFormat="1" applyFont="1" applyFill="1" applyBorder="1" applyAlignment="1">
      <alignment horizontal="right"/>
    </xf>
    <xf numFmtId="0" fontId="39" fillId="18" borderId="0" xfId="0" quotePrefix="1" applyFont="1" applyFill="1"/>
    <xf numFmtId="0" fontId="39" fillId="17" borderId="0" xfId="0" quotePrefix="1" applyFont="1" applyFill="1"/>
    <xf numFmtId="0" fontId="39" fillId="4" borderId="0" xfId="0" quotePrefix="1" applyFont="1" applyFill="1"/>
    <xf numFmtId="166" fontId="40" fillId="0" borderId="0" xfId="1" quotePrefix="1" applyNumberFormat="1" applyFont="1" applyFill="1" applyAlignment="1">
      <alignment horizontal="center"/>
    </xf>
    <xf numFmtId="0" fontId="40" fillId="0" borderId="0" xfId="0" quotePrefix="1" applyFont="1" applyFill="1" applyAlignment="1">
      <alignment horizontal="center"/>
    </xf>
    <xf numFmtId="164" fontId="40" fillId="0" borderId="0" xfId="1" quotePrefix="1" applyFont="1" applyFill="1" applyAlignment="1">
      <alignment horizontal="center"/>
    </xf>
    <xf numFmtId="164" fontId="40" fillId="0" borderId="40" xfId="1" quotePrefix="1" applyFont="1" applyFill="1" applyBorder="1" applyAlignment="1">
      <alignment horizontal="center"/>
    </xf>
    <xf numFmtId="38" fontId="40" fillId="0" borderId="0" xfId="0" quotePrefix="1" applyNumberFormat="1" applyFont="1" applyFill="1" applyAlignment="1">
      <alignment horizontal="center"/>
    </xf>
    <xf numFmtId="38" fontId="40" fillId="0" borderId="40" xfId="0" quotePrefix="1" applyNumberFormat="1" applyFont="1" applyFill="1" applyBorder="1" applyAlignment="1">
      <alignment horizontal="center"/>
    </xf>
    <xf numFmtId="166" fontId="40" fillId="0" borderId="0" xfId="1" quotePrefix="1" applyNumberFormat="1" applyFont="1" applyAlignment="1">
      <alignment horizontal="center"/>
    </xf>
    <xf numFmtId="0" fontId="39" fillId="15" borderId="0" xfId="0" quotePrefix="1" applyFont="1" applyFill="1"/>
    <xf numFmtId="174" fontId="39" fillId="15" borderId="0" xfId="0" quotePrefix="1" applyNumberFormat="1" applyFont="1" applyFill="1" applyAlignment="1">
      <alignment horizontal="right"/>
    </xf>
    <xf numFmtId="174" fontId="39" fillId="17" borderId="0" xfId="0" quotePrefix="1" applyNumberFormat="1" applyFont="1" applyFill="1" applyAlignment="1">
      <alignment horizontal="right"/>
    </xf>
    <xf numFmtId="174" fontId="39" fillId="17" borderId="0" xfId="1" quotePrefix="1" applyNumberFormat="1" applyFont="1" applyFill="1" applyAlignment="1">
      <alignment horizontal="right"/>
    </xf>
    <xf numFmtId="174" fontId="39" fillId="18" borderId="0" xfId="0" quotePrefix="1" applyNumberFormat="1" applyFont="1" applyFill="1" applyAlignment="1">
      <alignment horizontal="right"/>
    </xf>
    <xf numFmtId="0" fontId="40" fillId="5" borderId="0" xfId="0" quotePrefix="1" applyFont="1" applyFill="1"/>
    <xf numFmtId="38" fontId="40" fillId="5" borderId="0" xfId="0" quotePrefix="1" applyNumberFormat="1" applyFont="1" applyFill="1" applyAlignment="1">
      <alignment horizontal="right"/>
    </xf>
    <xf numFmtId="0" fontId="40" fillId="0" borderId="0" xfId="0" quotePrefix="1" applyFont="1" applyAlignment="1">
      <alignment horizontal="center"/>
    </xf>
    <xf numFmtId="164" fontId="40" fillId="0" borderId="0" xfId="1" quotePrefix="1" applyFont="1" applyAlignment="1">
      <alignment horizontal="center"/>
    </xf>
    <xf numFmtId="166" fontId="40" fillId="7" borderId="0" xfId="1" quotePrefix="1" applyNumberFormat="1" applyFont="1" applyFill="1" applyAlignment="1">
      <alignment horizontal="center"/>
    </xf>
    <xf numFmtId="166" fontId="40" fillId="4" borderId="0" xfId="1" quotePrefix="1" applyNumberFormat="1" applyFont="1" applyFill="1" applyAlignment="1">
      <alignment horizontal="center"/>
    </xf>
    <xf numFmtId="166" fontId="40" fillId="19" borderId="8" xfId="1" quotePrefix="1" applyNumberFormat="1" applyFont="1" applyFill="1" applyBorder="1"/>
    <xf numFmtId="166" fontId="40" fillId="19" borderId="8" xfId="1" quotePrefix="1" applyNumberFormat="1" applyFont="1" applyFill="1" applyBorder="1" applyAlignment="1">
      <alignment horizontal="right"/>
    </xf>
    <xf numFmtId="166" fontId="39" fillId="10" borderId="0" xfId="1" quotePrefix="1" applyNumberFormat="1" applyFont="1" applyFill="1" applyBorder="1"/>
    <xf numFmtId="166" fontId="39" fillId="10" borderId="0" xfId="1" applyNumberFormat="1" applyFont="1" applyFill="1" applyBorder="1" applyAlignment="1">
      <alignment horizontal="right"/>
    </xf>
    <xf numFmtId="166" fontId="39" fillId="10" borderId="0" xfId="1" quotePrefix="1" applyNumberFormat="1" applyFont="1" applyFill="1" applyBorder="1" applyAlignment="1">
      <alignment horizontal="right"/>
    </xf>
    <xf numFmtId="166" fontId="40" fillId="20" borderId="8" xfId="1" quotePrefix="1" applyNumberFormat="1" applyFont="1" applyFill="1" applyBorder="1"/>
    <xf numFmtId="166" fontId="40" fillId="20" borderId="8" xfId="1" quotePrefix="1" applyNumberFormat="1" applyFont="1" applyFill="1" applyBorder="1" applyAlignment="1">
      <alignment horizontal="right"/>
    </xf>
    <xf numFmtId="166" fontId="39" fillId="17" borderId="0" xfId="1" quotePrefix="1" applyNumberFormat="1" applyFont="1" applyFill="1"/>
    <xf numFmtId="166" fontId="49" fillId="17" borderId="0" xfId="1" quotePrefix="1" applyNumberFormat="1" applyFont="1" applyFill="1"/>
    <xf numFmtId="166" fontId="40" fillId="18" borderId="8" xfId="1" quotePrefix="1" applyNumberFormat="1" applyFont="1" applyFill="1" applyBorder="1"/>
    <xf numFmtId="166" fontId="40" fillId="18" borderId="8" xfId="1" quotePrefix="1" applyNumberFormat="1" applyFont="1" applyFill="1" applyBorder="1" applyAlignment="1">
      <alignment horizontal="right"/>
    </xf>
    <xf numFmtId="166" fontId="39" fillId="0" borderId="8" xfId="0" applyNumberFormat="1" applyFont="1" applyFill="1" applyBorder="1"/>
    <xf numFmtId="166" fontId="39" fillId="0" borderId="8" xfId="1" applyNumberFormat="1" applyFont="1" applyFill="1" applyBorder="1"/>
    <xf numFmtId="166" fontId="39" fillId="0" borderId="0" xfId="0" quotePrefix="1" applyNumberFormat="1" applyFont="1" applyFill="1"/>
    <xf numFmtId="166" fontId="40" fillId="0" borderId="38" xfId="1" applyNumberFormat="1" applyFont="1" applyFill="1" applyBorder="1" applyAlignment="1">
      <alignment horizontal="center"/>
    </xf>
    <xf numFmtId="166" fontId="40" fillId="0" borderId="40" xfId="1" quotePrefix="1" applyNumberFormat="1" applyFont="1" applyFill="1" applyBorder="1" applyAlignment="1">
      <alignment horizontal="center"/>
    </xf>
    <xf numFmtId="166" fontId="39" fillId="0" borderId="0" xfId="1" applyNumberFormat="1" applyFont="1" applyFill="1" applyBorder="1"/>
    <xf numFmtId="174" fontId="39" fillId="26" borderId="0" xfId="1" quotePrefix="1" applyNumberFormat="1" applyFont="1" applyFill="1" applyAlignment="1">
      <alignment horizontal="right"/>
    </xf>
    <xf numFmtId="174" fontId="39" fillId="23" borderId="0" xfId="1" quotePrefix="1" applyNumberFormat="1" applyFont="1" applyFill="1" applyAlignment="1">
      <alignment horizontal="right"/>
    </xf>
    <xf numFmtId="174" fontId="39" fillId="10" borderId="0" xfId="1" quotePrefix="1" applyNumberFormat="1" applyFont="1" applyFill="1" applyAlignment="1">
      <alignment horizontal="right"/>
    </xf>
    <xf numFmtId="174" fontId="39" fillId="25" borderId="0" xfId="1" quotePrefix="1" applyNumberFormat="1" applyFont="1" applyFill="1" applyAlignment="1">
      <alignment horizontal="right"/>
    </xf>
    <xf numFmtId="174" fontId="39" fillId="24" borderId="0" xfId="1" quotePrefix="1" applyNumberFormat="1" applyFont="1" applyFill="1" applyAlignment="1">
      <alignment horizontal="right"/>
    </xf>
    <xf numFmtId="174" fontId="39" fillId="27" borderId="0" xfId="1" quotePrefix="1" applyNumberFormat="1" applyFont="1" applyFill="1" applyAlignment="1">
      <alignment horizontal="right"/>
    </xf>
    <xf numFmtId="168" fontId="0" fillId="0" borderId="0" xfId="1" applyNumberFormat="1" applyFont="1"/>
    <xf numFmtId="38" fontId="40" fillId="0" borderId="38" xfId="0" quotePrefix="1" applyNumberFormat="1" applyFont="1" applyFill="1" applyBorder="1" applyAlignment="1">
      <alignment horizontal="center"/>
    </xf>
    <xf numFmtId="174" fontId="39" fillId="15" borderId="0" xfId="1" quotePrefix="1" applyNumberFormat="1" applyFont="1" applyFill="1" applyAlignment="1">
      <alignment horizontal="right"/>
    </xf>
    <xf numFmtId="174" fontId="39" fillId="18" borderId="0" xfId="1" quotePrefix="1" applyNumberFormat="1" applyFont="1" applyFill="1" applyAlignment="1">
      <alignment horizontal="right"/>
    </xf>
    <xf numFmtId="168" fontId="54" fillId="0" borderId="0" xfId="1" applyNumberFormat="1" applyFont="1"/>
    <xf numFmtId="168" fontId="0" fillId="0" borderId="0" xfId="0" applyNumberFormat="1"/>
    <xf numFmtId="0" fontId="55" fillId="0" borderId="0" xfId="0" applyFont="1" applyAlignment="1">
      <alignment horizontal="left"/>
    </xf>
    <xf numFmtId="0" fontId="0" fillId="0" borderId="0" xfId="0" applyFont="1" applyFill="1" applyBorder="1"/>
    <xf numFmtId="174" fontId="0" fillId="0" borderId="0" xfId="0" applyNumberFormat="1"/>
    <xf numFmtId="0" fontId="0" fillId="0" borderId="0" xfId="0" applyFont="1"/>
    <xf numFmtId="174" fontId="0" fillId="0" borderId="26" xfId="1" applyNumberFormat="1" applyFont="1" applyBorder="1"/>
    <xf numFmtId="43" fontId="0" fillId="0" borderId="0" xfId="1" applyNumberFormat="1" applyFont="1" applyBorder="1"/>
    <xf numFmtId="176" fontId="39" fillId="0" borderId="0" xfId="0" applyNumberFormat="1" applyFont="1" applyFill="1"/>
    <xf numFmtId="176" fontId="39" fillId="0" borderId="0" xfId="1" applyNumberFormat="1" applyFont="1" applyFill="1"/>
    <xf numFmtId="166" fontId="30" fillId="0" borderId="1" xfId="1" applyNumberFormat="1" applyFont="1" applyFill="1" applyBorder="1" applyAlignment="1">
      <alignment horizontal="center"/>
    </xf>
    <xf numFmtId="166" fontId="16" fillId="0" borderId="1" xfId="1" applyNumberFormat="1" applyFont="1" applyFill="1" applyBorder="1"/>
    <xf numFmtId="166" fontId="16" fillId="0" borderId="2" xfId="1" applyNumberFormat="1" applyFont="1" applyFill="1" applyBorder="1"/>
    <xf numFmtId="165" fontId="16" fillId="6" borderId="19" xfId="1" quotePrefix="1" applyNumberFormat="1" applyFont="1" applyFill="1" applyBorder="1" applyAlignment="1">
      <alignment horizontal="center" wrapText="1"/>
    </xf>
    <xf numFmtId="164" fontId="24" fillId="6" borderId="0" xfId="1" applyFont="1" applyFill="1" applyBorder="1" applyAlignment="1">
      <alignment horizontal="center"/>
    </xf>
    <xf numFmtId="166" fontId="30" fillId="6" borderId="0" xfId="1" applyNumberFormat="1" applyFont="1" applyFill="1" applyBorder="1" applyAlignment="1">
      <alignment horizontal="center"/>
    </xf>
    <xf numFmtId="166" fontId="16" fillId="6" borderId="0" xfId="1" applyNumberFormat="1" applyFont="1" applyFill="1" applyBorder="1" applyAlignment="1">
      <alignment horizontal="center"/>
    </xf>
    <xf numFmtId="170" fontId="35" fillId="6" borderId="0" xfId="1" applyNumberFormat="1" applyFont="1" applyFill="1" applyBorder="1" applyAlignment="1">
      <alignment horizontal="center"/>
    </xf>
    <xf numFmtId="170" fontId="24" fillId="6" borderId="0" xfId="1" applyNumberFormat="1" applyFont="1" applyFill="1" applyBorder="1" applyAlignment="1">
      <alignment horizontal="center"/>
    </xf>
    <xf numFmtId="166" fontId="16" fillId="6" borderId="0" xfId="1" applyNumberFormat="1" applyFont="1" applyFill="1" applyBorder="1"/>
    <xf numFmtId="170" fontId="17" fillId="6" borderId="0" xfId="1" applyNumberFormat="1" applyFont="1" applyFill="1" applyBorder="1" applyAlignment="1">
      <alignment horizontal="center"/>
    </xf>
    <xf numFmtId="166" fontId="16" fillId="6" borderId="8" xfId="1" applyNumberFormat="1" applyFont="1" applyFill="1" applyBorder="1" applyAlignment="1">
      <alignment horizontal="center"/>
    </xf>
    <xf numFmtId="166" fontId="18" fillId="6" borderId="0" xfId="1" applyNumberFormat="1" applyFont="1" applyFill="1" applyBorder="1"/>
    <xf numFmtId="166" fontId="17" fillId="6" borderId="4" xfId="1" applyNumberFormat="1" applyFont="1" applyFill="1" applyBorder="1"/>
    <xf numFmtId="166" fontId="16" fillId="6" borderId="15" xfId="1" applyNumberFormat="1" applyFont="1" applyFill="1" applyBorder="1" applyAlignment="1">
      <alignment horizontal="center"/>
    </xf>
    <xf numFmtId="165" fontId="24" fillId="6" borderId="0" xfId="1" applyNumberFormat="1" applyFont="1" applyFill="1" applyBorder="1" applyAlignment="1">
      <alignment horizontal="center"/>
    </xf>
    <xf numFmtId="166" fontId="35" fillId="6" borderId="0" xfId="1" applyNumberFormat="1" applyFont="1" applyFill="1" applyBorder="1" applyAlignment="1">
      <alignment horizontal="center"/>
    </xf>
    <xf numFmtId="166" fontId="24" fillId="6" borderId="0" xfId="1" applyNumberFormat="1" applyFont="1" applyFill="1" applyBorder="1" applyAlignment="1">
      <alignment horizontal="center"/>
    </xf>
    <xf numFmtId="165" fontId="32" fillId="2" borderId="29" xfId="1" applyNumberFormat="1" applyFont="1" applyFill="1" applyBorder="1" applyAlignment="1"/>
    <xf numFmtId="166" fontId="3" fillId="6" borderId="4" xfId="1" applyNumberFormat="1" applyFont="1" applyFill="1" applyBorder="1" applyAlignment="1">
      <alignment horizontal="center"/>
    </xf>
    <xf numFmtId="0" fontId="40" fillId="18" borderId="8" xfId="0" applyFont="1" applyFill="1" applyBorder="1"/>
    <xf numFmtId="166" fontId="53" fillId="18" borderId="8" xfId="0" applyNumberFormat="1" applyFont="1" applyFill="1" applyBorder="1"/>
    <xf numFmtId="166" fontId="40" fillId="0" borderId="0" xfId="1" applyNumberFormat="1" applyFont="1" applyFill="1" applyBorder="1"/>
    <xf numFmtId="166" fontId="40" fillId="0" borderId="0" xfId="1" quotePrefix="1" applyNumberFormat="1" applyFont="1" applyFill="1" applyBorder="1"/>
    <xf numFmtId="38" fontId="40" fillId="0" borderId="0" xfId="0" applyNumberFormat="1" applyFont="1" applyFill="1" applyBorder="1"/>
    <xf numFmtId="38" fontId="39" fillId="0" borderId="0" xfId="0" applyNumberFormat="1" applyFont="1" applyFill="1" applyBorder="1"/>
    <xf numFmtId="0" fontId="39" fillId="17" borderId="0" xfId="0" applyFont="1" applyFill="1"/>
    <xf numFmtId="0" fontId="53" fillId="0" borderId="0" xfId="0" applyFont="1" applyFill="1"/>
    <xf numFmtId="0" fontId="39" fillId="17" borderId="0" xfId="0" quotePrefix="1" applyFont="1" applyFill="1" applyBorder="1"/>
    <xf numFmtId="0" fontId="53" fillId="19" borderId="8" xfId="0" applyFont="1" applyFill="1" applyBorder="1"/>
    <xf numFmtId="166" fontId="40" fillId="19" borderId="8" xfId="0" applyNumberFormat="1" applyFont="1" applyFill="1" applyBorder="1" applyAlignment="1">
      <alignment horizontal="center"/>
    </xf>
    <xf numFmtId="0" fontId="40" fillId="19" borderId="8" xfId="0" applyFont="1" applyFill="1" applyBorder="1"/>
    <xf numFmtId="166" fontId="39" fillId="19" borderId="8" xfId="0" applyNumberFormat="1" applyFont="1" applyFill="1" applyBorder="1"/>
    <xf numFmtId="166" fontId="3" fillId="0" borderId="0" xfId="0" applyNumberFormat="1" applyFont="1" applyBorder="1"/>
    <xf numFmtId="166" fontId="31" fillId="0" borderId="0" xfId="0" applyNumberFormat="1" applyFont="1" applyBorder="1"/>
    <xf numFmtId="165" fontId="39" fillId="0" borderId="0" xfId="1" applyNumberFormat="1" applyFont="1" applyFill="1" applyBorder="1"/>
    <xf numFmtId="165" fontId="39" fillId="0" borderId="8" xfId="1" applyNumberFormat="1" applyFont="1" applyFill="1" applyBorder="1"/>
    <xf numFmtId="167" fontId="39" fillId="0" borderId="0" xfId="1" applyNumberFormat="1" applyFont="1" applyFill="1"/>
    <xf numFmtId="167" fontId="0" fillId="0" borderId="0" xfId="1" applyNumberFormat="1" applyFont="1" applyFill="1"/>
    <xf numFmtId="0" fontId="0" fillId="0" borderId="0" xfId="0" applyFill="1" applyBorder="1"/>
    <xf numFmtId="0" fontId="39" fillId="0" borderId="1" xfId="0" quotePrefix="1" applyFont="1" applyFill="1" applyBorder="1"/>
    <xf numFmtId="166" fontId="40" fillId="0" borderId="2" xfId="1" applyNumberFormat="1" applyFont="1" applyFill="1" applyBorder="1" applyAlignment="1">
      <alignment horizontal="right"/>
    </xf>
    <xf numFmtId="166" fontId="39" fillId="0" borderId="2" xfId="1" quotePrefix="1" applyNumberFormat="1" applyFont="1" applyFill="1" applyBorder="1" applyAlignment="1">
      <alignment horizontal="right"/>
    </xf>
    <xf numFmtId="166" fontId="40" fillId="0" borderId="2" xfId="1" quotePrefix="1" applyNumberFormat="1" applyFont="1" applyFill="1" applyBorder="1" applyAlignment="1">
      <alignment horizontal="right"/>
    </xf>
    <xf numFmtId="0" fontId="39" fillId="0" borderId="1" xfId="0" applyFont="1" applyBorder="1"/>
    <xf numFmtId="166" fontId="40" fillId="0" borderId="0" xfId="1" applyNumberFormat="1" applyFont="1"/>
    <xf numFmtId="166" fontId="40" fillId="10" borderId="2" xfId="1" quotePrefix="1" applyNumberFormat="1" applyFont="1" applyFill="1" applyBorder="1" applyAlignment="1">
      <alignment horizontal="center"/>
    </xf>
    <xf numFmtId="166" fontId="39" fillId="10" borderId="2" xfId="1" quotePrefix="1" applyNumberFormat="1" applyFont="1" applyFill="1" applyBorder="1" applyAlignment="1">
      <alignment horizontal="right"/>
    </xf>
    <xf numFmtId="166" fontId="39" fillId="4" borderId="2" xfId="1" quotePrefix="1" applyNumberFormat="1" applyFont="1" applyFill="1" applyBorder="1" applyAlignment="1">
      <alignment horizontal="right"/>
    </xf>
    <xf numFmtId="0" fontId="39" fillId="7" borderId="1" xfId="0" quotePrefix="1" applyFont="1" applyFill="1" applyBorder="1"/>
    <xf numFmtId="166" fontId="39" fillId="7" borderId="2" xfId="1" applyNumberFormat="1" applyFont="1" applyFill="1" applyBorder="1" applyAlignment="1">
      <alignment horizontal="right"/>
    </xf>
    <xf numFmtId="166" fontId="39" fillId="0" borderId="0" xfId="0" applyNumberFormat="1" applyFont="1" applyBorder="1"/>
    <xf numFmtId="166" fontId="39" fillId="4" borderId="22" xfId="1" quotePrefix="1" applyNumberFormat="1" applyFont="1" applyFill="1" applyBorder="1" applyAlignment="1">
      <alignment horizontal="right"/>
    </xf>
    <xf numFmtId="166" fontId="39" fillId="4" borderId="22" xfId="1" applyNumberFormat="1" applyFont="1" applyFill="1" applyBorder="1" applyAlignment="1">
      <alignment horizontal="right"/>
    </xf>
    <xf numFmtId="49" fontId="40" fillId="22" borderId="8" xfId="0" quotePrefix="1" applyNumberFormat="1" applyFont="1" applyFill="1" applyBorder="1" applyAlignment="1">
      <alignment horizontal="left"/>
    </xf>
    <xf numFmtId="49" fontId="40" fillId="0" borderId="0" xfId="0" applyNumberFormat="1" applyFont="1" applyAlignment="1">
      <alignment horizontal="left"/>
    </xf>
    <xf numFmtId="49" fontId="39" fillId="0" borderId="0" xfId="0" quotePrefix="1" applyNumberFormat="1" applyFont="1" applyBorder="1"/>
    <xf numFmtId="49" fontId="39" fillId="0" borderId="0" xfId="0" applyNumberFormat="1" applyFont="1" applyAlignment="1">
      <alignment horizontal="left"/>
    </xf>
    <xf numFmtId="49" fontId="40" fillId="11" borderId="8" xfId="0" applyNumberFormat="1" applyFont="1" applyFill="1" applyBorder="1" applyAlignment="1">
      <alignment horizontal="left"/>
    </xf>
    <xf numFmtId="49" fontId="39" fillId="0" borderId="12" xfId="3" quotePrefix="1" applyNumberFormat="1" applyFont="1" applyBorder="1" applyAlignment="1">
      <alignment horizontal="left"/>
    </xf>
    <xf numFmtId="164" fontId="39" fillId="0" borderId="12" xfId="3" applyFont="1" applyBorder="1" applyAlignment="1">
      <alignment horizontal="center"/>
    </xf>
    <xf numFmtId="164" fontId="39" fillId="0" borderId="27" xfId="3" applyFont="1" applyBorder="1" applyAlignment="1">
      <alignment horizontal="center"/>
    </xf>
    <xf numFmtId="49" fontId="39" fillId="0" borderId="0" xfId="3" applyNumberFormat="1" applyFont="1" applyBorder="1" applyAlignment="1">
      <alignment horizontal="left"/>
    </xf>
    <xf numFmtId="166" fontId="39" fillId="0" borderId="2" xfId="1" quotePrefix="1" applyNumberFormat="1" applyFont="1" applyBorder="1" applyAlignment="1">
      <alignment horizontal="center"/>
    </xf>
    <xf numFmtId="166" fontId="39" fillId="0" borderId="2" xfId="1" quotePrefix="1" applyNumberFormat="1" applyFont="1" applyBorder="1" applyAlignment="1">
      <alignment horizontal="right"/>
    </xf>
    <xf numFmtId="0" fontId="39" fillId="0" borderId="1" xfId="0" quotePrefix="1" applyFont="1" applyBorder="1"/>
    <xf numFmtId="49" fontId="39" fillId="0" borderId="0" xfId="3" quotePrefix="1" applyNumberFormat="1" applyFont="1" applyBorder="1" applyAlignment="1">
      <alignment horizontal="left"/>
    </xf>
    <xf numFmtId="166" fontId="39" fillId="0" borderId="2" xfId="1" applyNumberFormat="1" applyFont="1" applyBorder="1" applyAlignment="1">
      <alignment horizontal="right"/>
    </xf>
    <xf numFmtId="49" fontId="39" fillId="0" borderId="0" xfId="3" quotePrefix="1" applyNumberFormat="1" applyFont="1" applyFill="1" applyBorder="1" applyAlignment="1">
      <alignment horizontal="left"/>
    </xf>
    <xf numFmtId="49" fontId="39" fillId="7" borderId="0" xfId="0" quotePrefix="1" applyNumberFormat="1" applyFont="1" applyFill="1" applyBorder="1" applyAlignment="1">
      <alignment horizontal="left"/>
    </xf>
    <xf numFmtId="49" fontId="39" fillId="0" borderId="0" xfId="0" quotePrefix="1" applyNumberFormat="1" applyFont="1" applyBorder="1" applyAlignment="1">
      <alignment horizontal="left"/>
    </xf>
    <xf numFmtId="0" fontId="40" fillId="22" borderId="7" xfId="0" quotePrefix="1" applyFont="1" applyFill="1" applyBorder="1"/>
    <xf numFmtId="166" fontId="40" fillId="22" borderId="13" xfId="1" applyNumberFormat="1" applyFont="1" applyFill="1" applyBorder="1" applyAlignment="1">
      <alignment horizontal="right"/>
    </xf>
    <xf numFmtId="0" fontId="40" fillId="0" borderId="1" xfId="0" applyFont="1" applyBorder="1"/>
    <xf numFmtId="166" fontId="40" fillId="0" borderId="0" xfId="1" applyNumberFormat="1" applyFont="1" applyFill="1" applyBorder="1" applyAlignment="1">
      <alignment horizontal="right"/>
    </xf>
    <xf numFmtId="49" fontId="40" fillId="0" borderId="0" xfId="0" quotePrefix="1" applyNumberFormat="1" applyFont="1" applyBorder="1" applyAlignment="1">
      <alignment horizontal="left"/>
    </xf>
    <xf numFmtId="49" fontId="40" fillId="0" borderId="22" xfId="0" quotePrefix="1" applyNumberFormat="1" applyFont="1" applyBorder="1" applyAlignment="1">
      <alignment horizontal="left"/>
    </xf>
    <xf numFmtId="166" fontId="39" fillId="0" borderId="22" xfId="1" quotePrefix="1" applyNumberFormat="1" applyFont="1" applyBorder="1" applyAlignment="1">
      <alignment horizontal="right"/>
    </xf>
    <xf numFmtId="166" fontId="39" fillId="0" borderId="23" xfId="1" quotePrefix="1" applyNumberFormat="1" applyFont="1" applyBorder="1" applyAlignment="1">
      <alignment horizontal="right"/>
    </xf>
    <xf numFmtId="166" fontId="39" fillId="0" borderId="0" xfId="1" quotePrefix="1" applyNumberFormat="1" applyFont="1" applyFill="1" applyBorder="1" applyAlignment="1">
      <alignment horizontal="center"/>
    </xf>
    <xf numFmtId="166" fontId="40" fillId="5" borderId="4" xfId="1" applyNumberFormat="1" applyFont="1" applyFill="1" applyBorder="1" applyAlignment="1">
      <alignment horizontal="center"/>
    </xf>
    <xf numFmtId="166" fontId="40" fillId="11" borderId="8" xfId="1" applyNumberFormat="1" applyFont="1" applyFill="1" applyBorder="1" applyAlignment="1">
      <alignment horizontal="center"/>
    </xf>
    <xf numFmtId="168" fontId="39" fillId="0" borderId="0" xfId="1" applyNumberFormat="1" applyFont="1" applyAlignment="1">
      <alignment horizontal="center"/>
    </xf>
    <xf numFmtId="166" fontId="39" fillId="0" borderId="0" xfId="0" applyNumberFormat="1" applyFont="1" applyAlignment="1">
      <alignment horizontal="center"/>
    </xf>
    <xf numFmtId="168" fontId="39" fillId="0" borderId="0" xfId="0" applyNumberFormat="1" applyFont="1" applyAlignment="1">
      <alignment horizontal="center"/>
    </xf>
    <xf numFmtId="43" fontId="39" fillId="0" borderId="0" xfId="0" applyNumberFormat="1" applyFont="1" applyAlignment="1">
      <alignment horizontal="center"/>
    </xf>
    <xf numFmtId="166" fontId="39" fillId="23" borderId="0" xfId="1" quotePrefix="1" applyNumberFormat="1" applyFont="1" applyFill="1" applyBorder="1" applyAlignment="1">
      <alignment horizontal="right"/>
    </xf>
    <xf numFmtId="166" fontId="39" fillId="23" borderId="2" xfId="1" quotePrefix="1" applyNumberFormat="1" applyFont="1" applyFill="1" applyBorder="1" applyAlignment="1">
      <alignment horizontal="right"/>
    </xf>
    <xf numFmtId="166" fontId="39" fillId="23" borderId="0" xfId="1" applyNumberFormat="1" applyFont="1" applyFill="1" applyBorder="1" applyAlignment="1">
      <alignment horizontal="right"/>
    </xf>
    <xf numFmtId="166" fontId="39" fillId="23" borderId="22" xfId="1" quotePrefix="1" applyNumberFormat="1" applyFont="1" applyFill="1" applyBorder="1" applyAlignment="1">
      <alignment horizontal="right"/>
    </xf>
    <xf numFmtId="166" fontId="39" fillId="23" borderId="22" xfId="1" applyNumberFormat="1" applyFont="1" applyFill="1" applyBorder="1" applyAlignment="1">
      <alignment horizontal="right"/>
    </xf>
    <xf numFmtId="49" fontId="39" fillId="0" borderId="0" xfId="0" applyNumberFormat="1" applyFont="1" applyBorder="1"/>
    <xf numFmtId="49" fontId="53" fillId="0" borderId="0" xfId="0" applyNumberFormat="1" applyFont="1" applyBorder="1"/>
    <xf numFmtId="49" fontId="39" fillId="23" borderId="11" xfId="0" applyNumberFormat="1" applyFont="1" applyFill="1" applyBorder="1"/>
    <xf numFmtId="49" fontId="39" fillId="23" borderId="12" xfId="0" applyNumberFormat="1" applyFont="1" applyFill="1" applyBorder="1"/>
    <xf numFmtId="49" fontId="39" fillId="23" borderId="1" xfId="0" applyNumberFormat="1" applyFont="1" applyFill="1" applyBorder="1"/>
    <xf numFmtId="49" fontId="39" fillId="23" borderId="0" xfId="0" applyNumberFormat="1" applyFont="1" applyFill="1" applyBorder="1"/>
    <xf numFmtId="49" fontId="39" fillId="23" borderId="1" xfId="3" quotePrefix="1" applyNumberFormat="1" applyFont="1" applyFill="1" applyBorder="1"/>
    <xf numFmtId="49" fontId="39" fillId="23" borderId="0" xfId="0" quotePrefix="1" applyNumberFormat="1" applyFont="1" applyFill="1" applyBorder="1"/>
    <xf numFmtId="49" fontId="39" fillId="23" borderId="21" xfId="3" quotePrefix="1" applyNumberFormat="1" applyFont="1" applyFill="1" applyBorder="1"/>
    <xf numFmtId="49" fontId="39" fillId="23" borderId="22" xfId="0" quotePrefix="1" applyNumberFormat="1" applyFont="1" applyFill="1" applyBorder="1"/>
    <xf numFmtId="49" fontId="39" fillId="0" borderId="0" xfId="3" quotePrefix="1" applyNumberFormat="1" applyFont="1" applyFill="1" applyBorder="1"/>
    <xf numFmtId="49" fontId="39" fillId="0" borderId="0" xfId="0" quotePrefix="1" applyNumberFormat="1" applyFont="1" applyFill="1" applyBorder="1"/>
    <xf numFmtId="49" fontId="53" fillId="0" borderId="0" xfId="3" applyNumberFormat="1" applyFont="1" applyFill="1" applyBorder="1"/>
    <xf numFmtId="49" fontId="53" fillId="0" borderId="0" xfId="3" quotePrefix="1" applyNumberFormat="1" applyFont="1" applyFill="1" applyBorder="1"/>
    <xf numFmtId="49" fontId="39" fillId="4" borderId="11" xfId="0" applyNumberFormat="1" applyFont="1" applyFill="1" applyBorder="1"/>
    <xf numFmtId="49" fontId="39" fillId="4" borderId="12" xfId="0" applyNumberFormat="1" applyFont="1" applyFill="1" applyBorder="1"/>
    <xf numFmtId="49" fontId="39" fillId="4" borderId="1" xfId="0" applyNumberFormat="1" applyFont="1" applyFill="1" applyBorder="1"/>
    <xf numFmtId="49" fontId="39" fillId="4" borderId="0" xfId="0" applyNumberFormat="1" applyFont="1" applyFill="1" applyBorder="1"/>
    <xf numFmtId="49" fontId="39" fillId="4" borderId="1" xfId="3" quotePrefix="1" applyNumberFormat="1" applyFont="1" applyFill="1" applyBorder="1"/>
    <xf numFmtId="49" fontId="39" fillId="4" borderId="0" xfId="1" quotePrefix="1" applyNumberFormat="1" applyFont="1" applyFill="1" applyBorder="1" applyAlignment="1">
      <alignment horizontal="left"/>
    </xf>
    <xf numFmtId="49" fontId="39" fillId="4" borderId="1" xfId="0" quotePrefix="1" applyNumberFormat="1" applyFont="1" applyFill="1" applyBorder="1"/>
    <xf numFmtId="49" fontId="39" fillId="4" borderId="0" xfId="0" quotePrefix="1" applyNumberFormat="1" applyFont="1" applyFill="1" applyBorder="1"/>
    <xf numFmtId="49" fontId="39" fillId="4" borderId="21" xfId="0" quotePrefix="1" applyNumberFormat="1" applyFont="1" applyFill="1" applyBorder="1"/>
    <xf numFmtId="49" fontId="39" fillId="4" borderId="22" xfId="0" quotePrefix="1" applyNumberFormat="1" applyFont="1" applyFill="1" applyBorder="1"/>
    <xf numFmtId="49" fontId="39" fillId="0" borderId="0" xfId="1" quotePrefix="1" applyNumberFormat="1" applyFont="1" applyFill="1" applyBorder="1" applyAlignment="1">
      <alignment horizontal="left"/>
    </xf>
    <xf numFmtId="49" fontId="39" fillId="4" borderId="21" xfId="3" quotePrefix="1" applyNumberFormat="1" applyFont="1" applyFill="1" applyBorder="1"/>
    <xf numFmtId="49" fontId="39" fillId="0" borderId="0" xfId="0" applyNumberFormat="1" applyFont="1" applyFill="1" applyBorder="1"/>
    <xf numFmtId="166" fontId="39" fillId="7" borderId="8" xfId="1" quotePrefix="1" applyNumberFormat="1" applyFont="1" applyFill="1" applyBorder="1" applyAlignment="1">
      <alignment horizontal="left"/>
    </xf>
    <xf numFmtId="166" fontId="39" fillId="7" borderId="8" xfId="1" applyNumberFormat="1" applyFont="1" applyFill="1" applyBorder="1" applyAlignment="1">
      <alignment horizontal="right"/>
    </xf>
    <xf numFmtId="166" fontId="40" fillId="7" borderId="15" xfId="1" quotePrefix="1" applyNumberFormat="1" applyFont="1" applyFill="1" applyBorder="1" applyAlignment="1">
      <alignment horizontal="left"/>
    </xf>
    <xf numFmtId="166" fontId="40" fillId="7" borderId="15" xfId="1" applyNumberFormat="1" applyFont="1" applyFill="1" applyBorder="1" applyAlignment="1">
      <alignment horizontal="right"/>
    </xf>
    <xf numFmtId="166" fontId="40" fillId="23" borderId="12" xfId="1" applyNumberFormat="1" applyFont="1" applyFill="1" applyBorder="1"/>
    <xf numFmtId="166" fontId="40" fillId="23" borderId="12" xfId="1" quotePrefix="1" applyNumberFormat="1" applyFont="1" applyFill="1" applyBorder="1"/>
    <xf numFmtId="166" fontId="40" fillId="23" borderId="27" xfId="1" applyNumberFormat="1" applyFont="1" applyFill="1" applyBorder="1"/>
    <xf numFmtId="166" fontId="40" fillId="23" borderId="0" xfId="1" quotePrefix="1" applyNumberFormat="1" applyFont="1" applyFill="1" applyBorder="1" applyAlignment="1">
      <alignment horizontal="center"/>
    </xf>
    <xf numFmtId="166" fontId="40" fillId="23" borderId="2" xfId="1" quotePrefix="1" applyNumberFormat="1" applyFont="1" applyFill="1" applyBorder="1" applyAlignment="1">
      <alignment horizontal="center"/>
    </xf>
    <xf numFmtId="166" fontId="40" fillId="4" borderId="12" xfId="1" applyNumberFormat="1" applyFont="1" applyFill="1" applyBorder="1"/>
    <xf numFmtId="166" fontId="40" fillId="4" borderId="12" xfId="1" quotePrefix="1" applyNumberFormat="1" applyFont="1" applyFill="1" applyBorder="1"/>
    <xf numFmtId="166" fontId="40" fillId="4" borderId="27" xfId="1" applyNumberFormat="1" applyFont="1" applyFill="1" applyBorder="1"/>
    <xf numFmtId="166" fontId="40" fillId="4" borderId="0" xfId="1" quotePrefix="1" applyNumberFormat="1" applyFont="1" applyFill="1" applyBorder="1" applyAlignment="1">
      <alignment horizontal="center"/>
    </xf>
    <xf numFmtId="166" fontId="40" fillId="4" borderId="2" xfId="1" quotePrefix="1" applyNumberFormat="1" applyFont="1" applyFill="1" applyBorder="1" applyAlignment="1">
      <alignment horizontal="center"/>
    </xf>
    <xf numFmtId="49" fontId="39" fillId="4" borderId="22" xfId="1" quotePrefix="1" applyNumberFormat="1" applyFont="1" applyFill="1" applyBorder="1" applyAlignment="1">
      <alignment horizontal="left"/>
    </xf>
    <xf numFmtId="49" fontId="40" fillId="12" borderId="7" xfId="3" quotePrefix="1" applyNumberFormat="1" applyFont="1" applyFill="1" applyBorder="1"/>
    <xf numFmtId="49" fontId="40" fillId="12" borderId="8" xfId="0" quotePrefix="1" applyNumberFormat="1" applyFont="1" applyFill="1" applyBorder="1"/>
    <xf numFmtId="166" fontId="40" fillId="12" borderId="8" xfId="1" quotePrefix="1" applyNumberFormat="1" applyFont="1" applyFill="1" applyBorder="1" applyAlignment="1">
      <alignment horizontal="right"/>
    </xf>
    <xf numFmtId="166" fontId="40" fillId="12" borderId="13" xfId="1" quotePrefix="1" applyNumberFormat="1" applyFont="1" applyFill="1" applyBorder="1" applyAlignment="1">
      <alignment horizontal="right"/>
    </xf>
    <xf numFmtId="49" fontId="40" fillId="12" borderId="14" xfId="3" quotePrefix="1" applyNumberFormat="1" applyFont="1" applyFill="1" applyBorder="1"/>
    <xf numFmtId="49" fontId="40" fillId="12" borderId="15" xfId="0" quotePrefix="1" applyNumberFormat="1" applyFont="1" applyFill="1" applyBorder="1"/>
    <xf numFmtId="166" fontId="40" fillId="12" borderId="15" xfId="1" quotePrefix="1" applyNumberFormat="1" applyFont="1" applyFill="1" applyBorder="1" applyAlignment="1">
      <alignment horizontal="right"/>
    </xf>
    <xf numFmtId="166" fontId="39" fillId="7" borderId="15" xfId="1" applyNumberFormat="1" applyFont="1" applyFill="1" applyBorder="1" applyAlignment="1">
      <alignment horizontal="right"/>
    </xf>
    <xf numFmtId="166" fontId="40" fillId="0" borderId="0" xfId="1" quotePrefix="1" applyNumberFormat="1" applyFont="1" applyFill="1" applyBorder="1" applyAlignment="1">
      <alignment horizontal="center"/>
    </xf>
    <xf numFmtId="164" fontId="39" fillId="0" borderId="12" xfId="3" quotePrefix="1" applyFont="1" applyBorder="1" applyAlignment="1">
      <alignment horizontal="center"/>
    </xf>
    <xf numFmtId="166" fontId="39" fillId="0" borderId="11" xfId="1" applyNumberFormat="1" applyFont="1" applyFill="1" applyBorder="1"/>
    <xf numFmtId="166" fontId="39" fillId="0" borderId="12" xfId="1" applyNumberFormat="1" applyFont="1" applyFill="1" applyBorder="1"/>
    <xf numFmtId="166" fontId="40" fillId="0" borderId="12" xfId="1" quotePrefix="1" applyNumberFormat="1" applyFont="1" applyFill="1" applyBorder="1" applyAlignment="1">
      <alignment horizontal="center"/>
    </xf>
    <xf numFmtId="166" fontId="40" fillId="0" borderId="12" xfId="1" applyNumberFormat="1" applyFont="1" applyFill="1" applyBorder="1" applyAlignment="1">
      <alignment horizontal="center"/>
    </xf>
    <xf numFmtId="166" fontId="40" fillId="0" borderId="27" xfId="1" applyNumberFormat="1" applyFont="1" applyFill="1" applyBorder="1" applyAlignment="1">
      <alignment horizontal="center"/>
    </xf>
    <xf numFmtId="166" fontId="39" fillId="0" borderId="1" xfId="1" applyNumberFormat="1" applyFont="1" applyFill="1" applyBorder="1"/>
    <xf numFmtId="166" fontId="40" fillId="0" borderId="2" xfId="1" quotePrefix="1" applyNumberFormat="1" applyFont="1" applyFill="1" applyBorder="1" applyAlignment="1">
      <alignment horizontal="center"/>
    </xf>
    <xf numFmtId="166" fontId="40" fillId="0" borderId="0" xfId="1" quotePrefix="1" applyNumberFormat="1" applyFont="1" applyBorder="1" applyAlignment="1">
      <alignment horizontal="center"/>
    </xf>
    <xf numFmtId="166" fontId="40" fillId="19" borderId="7" xfId="1" quotePrefix="1" applyNumberFormat="1" applyFont="1" applyFill="1" applyBorder="1"/>
    <xf numFmtId="166" fontId="39" fillId="10" borderId="1" xfId="1" quotePrefix="1" applyNumberFormat="1" applyFont="1" applyFill="1" applyBorder="1"/>
    <xf numFmtId="166" fontId="40" fillId="20" borderId="7" xfId="1" quotePrefix="1" applyNumberFormat="1" applyFont="1" applyFill="1" applyBorder="1"/>
    <xf numFmtId="166" fontId="39" fillId="15" borderId="1" xfId="1" quotePrefix="1" applyNumberFormat="1" applyFont="1" applyFill="1" applyBorder="1"/>
    <xf numFmtId="166" fontId="39" fillId="15" borderId="0" xfId="1" quotePrefix="1" applyNumberFormat="1" applyFont="1" applyFill="1" applyBorder="1"/>
    <xf numFmtId="166" fontId="40" fillId="15" borderId="7" xfId="1" quotePrefix="1" applyNumberFormat="1" applyFont="1" applyFill="1" applyBorder="1"/>
    <xf numFmtId="166" fontId="39" fillId="17" borderId="1" xfId="1" quotePrefix="1" applyNumberFormat="1" applyFont="1" applyFill="1" applyBorder="1"/>
    <xf numFmtId="166" fontId="39" fillId="17" borderId="0" xfId="1" quotePrefix="1" applyNumberFormat="1" applyFont="1" applyFill="1" applyBorder="1"/>
    <xf numFmtId="166" fontId="39" fillId="17" borderId="0" xfId="1" applyNumberFormat="1" applyFont="1" applyFill="1" applyBorder="1" applyAlignment="1">
      <alignment horizontal="right"/>
    </xf>
    <xf numFmtId="166" fontId="39" fillId="17" borderId="0" xfId="1" quotePrefix="1" applyNumberFormat="1" applyFont="1" applyFill="1" applyBorder="1" applyAlignment="1">
      <alignment horizontal="right"/>
    </xf>
    <xf numFmtId="166" fontId="49" fillId="17" borderId="1" xfId="1" quotePrefix="1" applyNumberFormat="1" applyFont="1" applyFill="1" applyBorder="1"/>
    <xf numFmtId="166" fontId="49" fillId="17" borderId="0" xfId="1" quotePrefix="1" applyNumberFormat="1" applyFont="1" applyFill="1" applyBorder="1"/>
    <xf numFmtId="166" fontId="40" fillId="18" borderId="7" xfId="1" quotePrefix="1" applyNumberFormat="1" applyFont="1" applyFill="1" applyBorder="1"/>
    <xf numFmtId="166" fontId="39" fillId="15" borderId="0" xfId="1" applyNumberFormat="1" applyFont="1" applyFill="1" applyBorder="1"/>
    <xf numFmtId="166" fontId="39" fillId="15" borderId="2" xfId="1" quotePrefix="1" applyNumberFormat="1" applyFont="1" applyFill="1" applyBorder="1"/>
    <xf numFmtId="0" fontId="39" fillId="0" borderId="1" xfId="0" applyFont="1" applyFill="1" applyBorder="1"/>
    <xf numFmtId="38" fontId="39" fillId="0" borderId="2" xfId="0" applyNumberFormat="1" applyFont="1" applyFill="1" applyBorder="1"/>
    <xf numFmtId="166" fontId="40" fillId="17" borderId="0" xfId="1" quotePrefix="1" applyNumberFormat="1" applyFont="1" applyFill="1" applyBorder="1" applyAlignment="1">
      <alignment horizontal="center"/>
    </xf>
    <xf numFmtId="166" fontId="40" fillId="17" borderId="2" xfId="1" quotePrefix="1" applyNumberFormat="1" applyFont="1" applyFill="1" applyBorder="1" applyAlignment="1">
      <alignment horizontal="center"/>
    </xf>
    <xf numFmtId="166" fontId="3" fillId="6" borderId="26" xfId="1" applyNumberFormat="1" applyFont="1" applyFill="1" applyBorder="1" applyAlignment="1">
      <alignment horizontal="center"/>
    </xf>
    <xf numFmtId="166" fontId="16" fillId="6" borderId="6" xfId="1" applyNumberFormat="1" applyFont="1" applyFill="1" applyBorder="1" applyAlignment="1">
      <alignment horizontal="center"/>
    </xf>
    <xf numFmtId="166" fontId="22" fillId="6" borderId="0" xfId="1" applyNumberFormat="1" applyFont="1" applyFill="1" applyBorder="1" applyAlignment="1">
      <alignment horizontal="center"/>
    </xf>
    <xf numFmtId="166" fontId="23" fillId="6" borderId="0" xfId="1" applyNumberFormat="1" applyFont="1" applyFill="1" applyBorder="1" applyAlignment="1">
      <alignment horizontal="center"/>
    </xf>
    <xf numFmtId="164" fontId="39" fillId="0" borderId="0" xfId="1" quotePrefix="1" applyFont="1" applyFill="1" applyAlignment="1">
      <alignment horizontal="center"/>
    </xf>
    <xf numFmtId="166" fontId="39" fillId="0" borderId="0" xfId="3" quotePrefix="1" applyNumberFormat="1" applyFont="1" applyAlignment="1">
      <alignment horizontal="left"/>
    </xf>
    <xf numFmtId="0" fontId="40" fillId="0" borderId="0" xfId="0" quotePrefix="1" applyFont="1" applyFill="1" applyBorder="1"/>
    <xf numFmtId="0" fontId="39" fillId="0" borderId="0" xfId="0" quotePrefix="1" applyFont="1" applyBorder="1" applyAlignment="1">
      <alignment horizontal="left"/>
    </xf>
    <xf numFmtId="165" fontId="16" fillId="2" borderId="19" xfId="1" quotePrefix="1" applyNumberFormat="1" applyFont="1" applyFill="1" applyBorder="1" applyAlignment="1">
      <alignment horizontal="center" wrapText="1"/>
    </xf>
    <xf numFmtId="174" fontId="40" fillId="10" borderId="51" xfId="0" applyNumberFormat="1" applyFont="1" applyFill="1" applyBorder="1" applyAlignment="1">
      <alignment horizontal="right"/>
    </xf>
    <xf numFmtId="174" fontId="39" fillId="10" borderId="4" xfId="0" applyNumberFormat="1" applyFont="1" applyFill="1" applyBorder="1" applyAlignment="1">
      <alignment horizontal="right"/>
    </xf>
    <xf numFmtId="174" fontId="40" fillId="10" borderId="40" xfId="1" applyNumberFormat="1" applyFont="1" applyFill="1" applyBorder="1" applyAlignment="1">
      <alignment horizontal="right"/>
    </xf>
    <xf numFmtId="174" fontId="39" fillId="10" borderId="0" xfId="1" quotePrefix="1" applyNumberFormat="1" applyFont="1" applyFill="1" applyBorder="1" applyAlignment="1">
      <alignment horizontal="right"/>
    </xf>
    <xf numFmtId="174" fontId="40" fillId="19" borderId="8" xfId="1" quotePrefix="1" applyNumberFormat="1" applyFont="1" applyFill="1" applyBorder="1" applyAlignment="1">
      <alignment horizontal="right"/>
    </xf>
    <xf numFmtId="166" fontId="39" fillId="19" borderId="0" xfId="0" applyNumberFormat="1" applyFont="1" applyFill="1"/>
    <xf numFmtId="174" fontId="40" fillId="27" borderId="39" xfId="0" applyNumberFormat="1" applyFont="1" applyFill="1" applyBorder="1" applyAlignment="1">
      <alignment horizontal="right"/>
    </xf>
    <xf numFmtId="174" fontId="40" fillId="27" borderId="8" xfId="0" applyNumberFormat="1" applyFont="1" applyFill="1" applyBorder="1" applyAlignment="1">
      <alignment horizontal="right"/>
    </xf>
    <xf numFmtId="174" fontId="50" fillId="17" borderId="40" xfId="0" applyNumberFormat="1" applyFont="1" applyFill="1" applyBorder="1" applyAlignment="1">
      <alignment horizontal="right"/>
    </xf>
    <xf numFmtId="174" fontId="39" fillId="15" borderId="8" xfId="0" applyNumberFormat="1" applyFont="1" applyFill="1" applyBorder="1" applyAlignment="1">
      <alignment horizontal="right"/>
    </xf>
    <xf numFmtId="174" fontId="40" fillId="13" borderId="40" xfId="0" applyNumberFormat="1" applyFont="1" applyFill="1" applyBorder="1" applyAlignment="1">
      <alignment horizontal="right"/>
    </xf>
    <xf numFmtId="174" fontId="39" fillId="13" borderId="0" xfId="0" applyNumberFormat="1" applyFont="1" applyFill="1" applyAlignment="1">
      <alignment horizontal="right"/>
    </xf>
    <xf numFmtId="174" fontId="39" fillId="13" borderId="0" xfId="0" quotePrefix="1" applyNumberFormat="1" applyFont="1" applyFill="1" applyAlignment="1">
      <alignment horizontal="right"/>
    </xf>
    <xf numFmtId="174" fontId="39" fillId="13" borderId="0" xfId="1" quotePrefix="1" applyNumberFormat="1" applyFont="1" applyFill="1" applyAlignment="1">
      <alignment horizontal="right"/>
    </xf>
    <xf numFmtId="174" fontId="40" fillId="13" borderId="40" xfId="0" quotePrefix="1" applyNumberFormat="1" applyFont="1" applyFill="1" applyBorder="1" applyAlignment="1">
      <alignment horizontal="right"/>
    </xf>
    <xf numFmtId="171" fontId="40" fillId="15" borderId="40" xfId="0" applyNumberFormat="1" applyFont="1" applyFill="1" applyBorder="1" applyAlignment="1">
      <alignment horizontal="right"/>
    </xf>
    <xf numFmtId="38" fontId="40" fillId="15" borderId="0" xfId="0" applyNumberFormat="1" applyFont="1" applyFill="1" applyAlignment="1">
      <alignment horizontal="right"/>
    </xf>
    <xf numFmtId="166" fontId="39" fillId="10" borderId="3" xfId="1" quotePrefix="1" applyNumberFormat="1" applyFont="1" applyFill="1" applyBorder="1"/>
    <xf numFmtId="166" fontId="39" fillId="10" borderId="4" xfId="1" quotePrefix="1" applyNumberFormat="1" applyFont="1" applyFill="1" applyBorder="1"/>
    <xf numFmtId="166" fontId="39" fillId="10" borderId="4" xfId="1" quotePrefix="1" applyNumberFormat="1" applyFont="1" applyFill="1" applyBorder="1" applyAlignment="1">
      <alignment horizontal="right"/>
    </xf>
    <xf numFmtId="166" fontId="40" fillId="19" borderId="13" xfId="1" quotePrefix="1" applyNumberFormat="1" applyFont="1" applyFill="1" applyBorder="1" applyAlignment="1">
      <alignment horizontal="right"/>
    </xf>
    <xf numFmtId="166" fontId="39" fillId="17" borderId="2" xfId="1" quotePrefix="1" applyNumberFormat="1" applyFont="1" applyFill="1" applyBorder="1" applyAlignment="1">
      <alignment horizontal="right"/>
    </xf>
    <xf numFmtId="166" fontId="49" fillId="17" borderId="0" xfId="1" quotePrefix="1" applyNumberFormat="1" applyFont="1" applyFill="1" applyBorder="1" applyAlignment="1">
      <alignment horizontal="right"/>
    </xf>
    <xf numFmtId="166" fontId="40" fillId="7" borderId="40" xfId="1" applyNumberFormat="1" applyFont="1" applyFill="1" applyBorder="1"/>
    <xf numFmtId="38" fontId="40" fillId="7" borderId="40" xfId="0" applyNumberFormat="1" applyFont="1" applyFill="1" applyBorder="1"/>
    <xf numFmtId="166" fontId="39" fillId="13" borderId="1" xfId="1" quotePrefix="1" applyNumberFormat="1" applyFont="1" applyFill="1" applyBorder="1"/>
    <xf numFmtId="166" fontId="40" fillId="13" borderId="1" xfId="1" quotePrefix="1" applyNumberFormat="1" applyFont="1" applyFill="1" applyBorder="1"/>
    <xf numFmtId="166" fontId="39" fillId="13" borderId="0" xfId="1" quotePrefix="1" applyNumberFormat="1" applyFont="1" applyFill="1" applyBorder="1"/>
    <xf numFmtId="166" fontId="39" fillId="13" borderId="2" xfId="1" quotePrefix="1" applyNumberFormat="1" applyFont="1" applyFill="1" applyBorder="1"/>
    <xf numFmtId="166" fontId="39" fillId="15" borderId="7" xfId="1" quotePrefix="1" applyNumberFormat="1" applyFont="1" applyFill="1" applyBorder="1"/>
    <xf numFmtId="166" fontId="40" fillId="27" borderId="24" xfId="1" quotePrefix="1" applyNumberFormat="1" applyFont="1" applyFill="1" applyBorder="1"/>
    <xf numFmtId="166" fontId="40" fillId="27" borderId="26" xfId="1" quotePrefix="1" applyNumberFormat="1" applyFont="1" applyFill="1" applyBorder="1"/>
    <xf numFmtId="166" fontId="40" fillId="27" borderId="26" xfId="1" quotePrefix="1" applyNumberFormat="1" applyFont="1" applyFill="1" applyBorder="1" applyAlignment="1">
      <alignment horizontal="right"/>
    </xf>
    <xf numFmtId="166" fontId="39" fillId="15" borderId="8" xfId="1" quotePrefix="1" applyNumberFormat="1" applyFont="1" applyFill="1" applyBorder="1"/>
    <xf numFmtId="166" fontId="39" fillId="7" borderId="40" xfId="1" quotePrefix="1" applyNumberFormat="1" applyFont="1" applyFill="1" applyBorder="1"/>
    <xf numFmtId="0" fontId="39" fillId="25" borderId="0" xfId="0" quotePrefix="1" applyFont="1" applyFill="1" applyBorder="1" applyAlignment="1">
      <alignment horizontal="right"/>
    </xf>
    <xf numFmtId="166" fontId="39" fillId="25" borderId="0" xfId="1" quotePrefix="1" applyNumberFormat="1" applyFont="1" applyFill="1" applyBorder="1" applyAlignment="1">
      <alignment horizontal="right"/>
    </xf>
    <xf numFmtId="166" fontId="40" fillId="22" borderId="8" xfId="1" quotePrefix="1" applyNumberFormat="1" applyFont="1" applyFill="1" applyBorder="1" applyAlignment="1">
      <alignment horizontal="right"/>
    </xf>
    <xf numFmtId="38" fontId="40" fillId="28" borderId="0" xfId="0" applyNumberFormat="1" applyFont="1" applyFill="1" applyAlignment="1">
      <alignment horizontal="center"/>
    </xf>
    <xf numFmtId="164" fontId="40" fillId="28" borderId="0" xfId="1" quotePrefix="1" applyFont="1" applyFill="1" applyAlignment="1">
      <alignment horizontal="center"/>
    </xf>
    <xf numFmtId="38" fontId="40" fillId="28" borderId="0" xfId="0" quotePrefix="1" applyNumberFormat="1" applyFont="1" applyFill="1" applyAlignment="1">
      <alignment horizontal="center"/>
    </xf>
    <xf numFmtId="174" fontId="39" fillId="28" borderId="0" xfId="0" applyNumberFormat="1" applyFont="1" applyFill="1" applyAlignment="1">
      <alignment horizontal="right"/>
    </xf>
    <xf numFmtId="174" fontId="40" fillId="28" borderId="8" xfId="0" applyNumberFormat="1" applyFont="1" applyFill="1" applyBorder="1" applyAlignment="1">
      <alignment horizontal="right"/>
    </xf>
    <xf numFmtId="174" fontId="39" fillId="28" borderId="0" xfId="0" applyNumberFormat="1" applyFont="1" applyFill="1" applyBorder="1" applyAlignment="1">
      <alignment horizontal="right"/>
    </xf>
    <xf numFmtId="174" fontId="39" fillId="28" borderId="4" xfId="0" applyNumberFormat="1" applyFont="1" applyFill="1" applyBorder="1" applyAlignment="1">
      <alignment horizontal="right"/>
    </xf>
    <xf numFmtId="174" fontId="49" fillId="28" borderId="0" xfId="0" applyNumberFormat="1" applyFont="1" applyFill="1" applyAlignment="1">
      <alignment horizontal="right"/>
    </xf>
    <xf numFmtId="38" fontId="40" fillId="28" borderId="0" xfId="0" applyNumberFormat="1" applyFont="1" applyFill="1" applyAlignment="1">
      <alignment horizontal="right"/>
    </xf>
    <xf numFmtId="174" fontId="39" fillId="28" borderId="0" xfId="0" quotePrefix="1" applyNumberFormat="1" applyFont="1" applyFill="1" applyAlignment="1">
      <alignment horizontal="right"/>
    </xf>
    <xf numFmtId="174" fontId="39" fillId="28" borderId="8" xfId="0" applyNumberFormat="1" applyFont="1" applyFill="1" applyBorder="1" applyAlignment="1">
      <alignment horizontal="right"/>
    </xf>
    <xf numFmtId="38" fontId="39" fillId="28" borderId="0" xfId="0" applyNumberFormat="1" applyFont="1" applyFill="1"/>
    <xf numFmtId="174" fontId="39" fillId="0" borderId="0" xfId="0" applyNumberFormat="1" applyFont="1" applyFill="1"/>
    <xf numFmtId="174" fontId="56" fillId="28" borderId="0" xfId="0" applyNumberFormat="1" applyFont="1" applyFill="1" applyAlignment="1">
      <alignment horizontal="right"/>
    </xf>
    <xf numFmtId="166" fontId="39" fillId="30" borderId="0" xfId="1" quotePrefix="1" applyNumberFormat="1" applyFont="1" applyFill="1" applyBorder="1" applyAlignment="1">
      <alignment horizontal="right"/>
    </xf>
    <xf numFmtId="166" fontId="40" fillId="31" borderId="15" xfId="1" quotePrefix="1" applyNumberFormat="1" applyFont="1" applyFill="1" applyBorder="1" applyAlignment="1">
      <alignment horizontal="left"/>
    </xf>
    <xf numFmtId="166" fontId="39" fillId="32" borderId="6" xfId="0" applyNumberFormat="1" applyFont="1" applyFill="1" applyBorder="1" applyAlignment="1">
      <alignment horizontal="center"/>
    </xf>
    <xf numFmtId="0" fontId="39" fillId="32" borderId="6" xfId="0" applyFont="1" applyFill="1" applyBorder="1" applyAlignment="1">
      <alignment horizontal="center"/>
    </xf>
    <xf numFmtId="38" fontId="40" fillId="32" borderId="0" xfId="0" applyNumberFormat="1" applyFont="1" applyFill="1" applyAlignment="1">
      <alignment horizontal="center"/>
    </xf>
    <xf numFmtId="38" fontId="40" fillId="32" borderId="0" xfId="0" quotePrefix="1" applyNumberFormat="1" applyFont="1" applyFill="1" applyAlignment="1">
      <alignment horizontal="center"/>
    </xf>
    <xf numFmtId="166" fontId="40" fillId="32" borderId="0" xfId="1" quotePrefix="1" applyNumberFormat="1" applyFont="1" applyFill="1" applyAlignment="1">
      <alignment horizontal="center"/>
    </xf>
    <xf numFmtId="174" fontId="39" fillId="32" borderId="0" xfId="0" quotePrefix="1" applyNumberFormat="1" applyFont="1" applyFill="1" applyAlignment="1">
      <alignment horizontal="right"/>
    </xf>
    <xf numFmtId="174" fontId="39" fillId="32" borderId="0" xfId="1" quotePrefix="1" applyNumberFormat="1" applyFont="1" applyFill="1" applyAlignment="1">
      <alignment horizontal="right"/>
    </xf>
    <xf numFmtId="174" fontId="40" fillId="32" borderId="8" xfId="0" quotePrefix="1" applyNumberFormat="1" applyFont="1" applyFill="1" applyBorder="1" applyAlignment="1">
      <alignment horizontal="right"/>
    </xf>
    <xf numFmtId="174" fontId="39" fillId="32" borderId="0" xfId="0" quotePrefix="1" applyNumberFormat="1" applyFont="1" applyFill="1" applyBorder="1" applyAlignment="1">
      <alignment horizontal="right"/>
    </xf>
    <xf numFmtId="174" fontId="39" fillId="32" borderId="4" xfId="0" quotePrefix="1" applyNumberFormat="1" applyFont="1" applyFill="1" applyBorder="1" applyAlignment="1">
      <alignment horizontal="right"/>
    </xf>
    <xf numFmtId="174" fontId="56" fillId="32" borderId="0" xfId="0" quotePrefix="1" applyNumberFormat="1" applyFont="1" applyFill="1" applyAlignment="1">
      <alignment horizontal="right"/>
    </xf>
    <xf numFmtId="174" fontId="49" fillId="32" borderId="0" xfId="0" quotePrefix="1" applyNumberFormat="1" applyFont="1" applyFill="1" applyAlignment="1">
      <alignment horizontal="right"/>
    </xf>
    <xf numFmtId="38" fontId="40" fillId="32" borderId="0" xfId="0" quotePrefix="1" applyNumberFormat="1" applyFont="1" applyFill="1" applyAlignment="1">
      <alignment horizontal="right"/>
    </xf>
    <xf numFmtId="174" fontId="39" fillId="32" borderId="8" xfId="0" quotePrefix="1" applyNumberFormat="1" applyFont="1" applyFill="1" applyBorder="1" applyAlignment="1">
      <alignment horizontal="right"/>
    </xf>
    <xf numFmtId="38" fontId="39" fillId="32" borderId="0" xfId="0" applyNumberFormat="1" applyFont="1" applyFill="1"/>
    <xf numFmtId="166" fontId="39" fillId="0" borderId="0" xfId="1" applyNumberFormat="1" applyFont="1" applyBorder="1" applyAlignment="1">
      <alignment horizontal="center"/>
    </xf>
    <xf numFmtId="49" fontId="40" fillId="0" borderId="0" xfId="0" quotePrefix="1" applyNumberFormat="1" applyFont="1" applyFill="1" applyBorder="1" applyAlignment="1">
      <alignment horizontal="left"/>
    </xf>
    <xf numFmtId="0" fontId="0" fillId="0" borderId="0" xfId="0" quotePrefix="1"/>
    <xf numFmtId="166" fontId="39" fillId="33" borderId="1" xfId="1" quotePrefix="1" applyNumberFormat="1" applyFont="1" applyFill="1" applyBorder="1"/>
    <xf numFmtId="166" fontId="39" fillId="33" borderId="0" xfId="1" quotePrefix="1" applyNumberFormat="1" applyFont="1" applyFill="1" applyBorder="1"/>
    <xf numFmtId="166" fontId="39" fillId="33" borderId="0" xfId="1" quotePrefix="1" applyNumberFormat="1" applyFont="1" applyFill="1" applyBorder="1" applyAlignment="1">
      <alignment horizontal="right"/>
    </xf>
    <xf numFmtId="0" fontId="39" fillId="29" borderId="1" xfId="0" quotePrefix="1" applyFont="1" applyFill="1" applyBorder="1"/>
    <xf numFmtId="166" fontId="39" fillId="29" borderId="26" xfId="1" quotePrefix="1" applyNumberFormat="1" applyFont="1" applyFill="1" applyBorder="1"/>
    <xf numFmtId="166" fontId="39" fillId="29" borderId="25" xfId="1" quotePrefix="1" applyNumberFormat="1" applyFont="1" applyFill="1" applyBorder="1"/>
    <xf numFmtId="49" fontId="39" fillId="25" borderId="1" xfId="0" quotePrefix="1" applyNumberFormat="1" applyFont="1" applyFill="1" applyBorder="1"/>
    <xf numFmtId="164" fontId="39" fillId="25" borderId="3" xfId="3" quotePrefix="1" applyFont="1" applyFill="1" applyBorder="1"/>
    <xf numFmtId="49" fontId="40" fillId="29" borderId="21" xfId="0" quotePrefix="1" applyNumberFormat="1" applyFont="1" applyFill="1" applyBorder="1" applyAlignment="1">
      <alignment horizontal="left"/>
    </xf>
    <xf numFmtId="166" fontId="39" fillId="29" borderId="22" xfId="1" quotePrefix="1" applyNumberFormat="1" applyFont="1" applyFill="1" applyBorder="1"/>
    <xf numFmtId="0" fontId="39" fillId="10" borderId="15" xfId="0" quotePrefix="1" applyFont="1" applyFill="1" applyBorder="1"/>
    <xf numFmtId="166" fontId="39" fillId="10" borderId="15" xfId="0" applyNumberFormat="1" applyFont="1" applyFill="1" applyBorder="1"/>
    <xf numFmtId="166" fontId="39" fillId="10" borderId="15" xfId="1" applyNumberFormat="1" applyFont="1" applyFill="1" applyBorder="1"/>
    <xf numFmtId="166" fontId="39" fillId="23" borderId="2" xfId="1" applyNumberFormat="1" applyFont="1" applyFill="1" applyBorder="1" applyAlignment="1">
      <alignment horizontal="right"/>
    </xf>
    <xf numFmtId="166" fontId="39" fillId="34" borderId="1" xfId="1" quotePrefix="1" applyNumberFormat="1" applyFont="1" applyFill="1" applyBorder="1"/>
    <xf numFmtId="166" fontId="39" fillId="34" borderId="0" xfId="1" quotePrefix="1" applyNumberFormat="1" applyFont="1" applyFill="1" applyBorder="1" applyAlignment="1">
      <alignment horizontal="right"/>
    </xf>
    <xf numFmtId="164" fontId="0" fillId="23" borderId="11" xfId="1" quotePrefix="1" applyFont="1" applyFill="1" applyBorder="1"/>
    <xf numFmtId="164" fontId="0" fillId="23" borderId="1" xfId="1" quotePrefix="1" applyFont="1" applyFill="1" applyBorder="1"/>
    <xf numFmtId="0" fontId="0" fillId="23" borderId="1" xfId="0" quotePrefix="1" applyFill="1" applyBorder="1"/>
    <xf numFmtId="0" fontId="0" fillId="34" borderId="21" xfId="0" quotePrefix="1" applyFill="1" applyBorder="1"/>
    <xf numFmtId="171" fontId="54" fillId="0" borderId="0" xfId="0" applyNumberFormat="1" applyFont="1"/>
    <xf numFmtId="0" fontId="3" fillId="8" borderId="0" xfId="7" applyFill="1"/>
    <xf numFmtId="166" fontId="3" fillId="8" borderId="0" xfId="1" quotePrefix="1" applyNumberFormat="1" applyFont="1" applyFill="1"/>
    <xf numFmtId="166" fontId="3" fillId="8" borderId="0" xfId="1" applyNumberFormat="1" applyFont="1" applyFill="1"/>
    <xf numFmtId="0" fontId="3" fillId="8" borderId="0" xfId="7" quotePrefix="1" applyFill="1"/>
    <xf numFmtId="168" fontId="39" fillId="0" borderId="0" xfId="0" applyNumberFormat="1" applyFont="1" applyFill="1"/>
    <xf numFmtId="166" fontId="39" fillId="23" borderId="12" xfId="1" applyNumberFormat="1" applyFont="1" applyFill="1" applyBorder="1" applyAlignment="1">
      <alignment horizontal="right"/>
    </xf>
    <xf numFmtId="166" fontId="39" fillId="23" borderId="12" xfId="1" quotePrefix="1" applyNumberFormat="1" applyFont="1" applyFill="1" applyBorder="1" applyAlignment="1">
      <alignment horizontal="right"/>
    </xf>
    <xf numFmtId="166" fontId="40" fillId="7" borderId="38" xfId="1" applyNumberFormat="1" applyFont="1" applyFill="1" applyBorder="1" applyAlignment="1">
      <alignment horizontal="right"/>
    </xf>
    <xf numFmtId="166" fontId="39" fillId="23" borderId="27" xfId="1" quotePrefix="1" applyNumberFormat="1" applyFont="1" applyFill="1" applyBorder="1" applyAlignment="1">
      <alignment horizontal="right"/>
    </xf>
    <xf numFmtId="166" fontId="40" fillId="7" borderId="40" xfId="1" applyNumberFormat="1" applyFont="1" applyFill="1" applyBorder="1" applyAlignment="1">
      <alignment horizontal="right"/>
    </xf>
    <xf numFmtId="166" fontId="40" fillId="7" borderId="40" xfId="1" quotePrefix="1" applyNumberFormat="1" applyFont="1" applyFill="1" applyBorder="1" applyAlignment="1">
      <alignment horizontal="right"/>
    </xf>
    <xf numFmtId="166" fontId="39" fillId="34" borderId="22" xfId="1" quotePrefix="1" applyNumberFormat="1" applyFont="1" applyFill="1" applyBorder="1" applyAlignment="1">
      <alignment horizontal="right"/>
    </xf>
    <xf numFmtId="166" fontId="39" fillId="34" borderId="22" xfId="1" applyNumberFormat="1" applyFont="1" applyFill="1" applyBorder="1" applyAlignment="1">
      <alignment horizontal="right"/>
    </xf>
    <xf numFmtId="166" fontId="40" fillId="7" borderId="43" xfId="1" quotePrefix="1" applyNumberFormat="1" applyFont="1" applyFill="1" applyBorder="1" applyAlignment="1">
      <alignment horizontal="right"/>
    </xf>
    <xf numFmtId="166" fontId="39" fillId="34" borderId="23" xfId="1" applyNumberFormat="1" applyFont="1" applyFill="1" applyBorder="1" applyAlignment="1">
      <alignment horizontal="right"/>
    </xf>
    <xf numFmtId="166" fontId="40" fillId="0" borderId="0" xfId="1" applyNumberFormat="1" applyFont="1" applyFill="1" applyBorder="1" applyAlignment="1">
      <alignment horizontal="center"/>
    </xf>
    <xf numFmtId="49" fontId="39" fillId="10" borderId="21" xfId="3" quotePrefix="1" applyNumberFormat="1" applyFont="1" applyFill="1" applyBorder="1"/>
    <xf numFmtId="166" fontId="40" fillId="6" borderId="0" xfId="1" quotePrefix="1" applyNumberFormat="1" applyFont="1" applyFill="1" applyBorder="1" applyAlignment="1">
      <alignment horizontal="center"/>
    </xf>
    <xf numFmtId="166" fontId="39" fillId="6" borderId="0" xfId="1" quotePrefix="1" applyNumberFormat="1" applyFont="1" applyFill="1" applyBorder="1" applyAlignment="1">
      <alignment horizontal="right"/>
    </xf>
    <xf numFmtId="166" fontId="39" fillId="6" borderId="4" xfId="1" quotePrefix="1" applyNumberFormat="1" applyFont="1" applyFill="1" applyBorder="1" applyAlignment="1">
      <alignment horizontal="right"/>
    </xf>
    <xf numFmtId="166" fontId="31" fillId="0" borderId="0" xfId="0" quotePrefix="1" applyNumberFormat="1" applyFont="1" applyBorder="1"/>
    <xf numFmtId="166" fontId="39" fillId="0" borderId="15" xfId="1" quotePrefix="1" applyNumberFormat="1" applyFont="1" applyFill="1" applyBorder="1" applyAlignment="1">
      <alignment horizontal="right"/>
    </xf>
    <xf numFmtId="166" fontId="39" fillId="6" borderId="15" xfId="1" quotePrefix="1" applyNumberFormat="1" applyFont="1" applyFill="1" applyBorder="1" applyAlignment="1">
      <alignment horizontal="right"/>
    </xf>
    <xf numFmtId="164" fontId="39" fillId="0" borderId="0" xfId="1" applyFont="1" applyBorder="1"/>
    <xf numFmtId="166" fontId="31" fillId="6" borderId="0" xfId="1" applyNumberFormat="1" applyFont="1" applyFill="1" applyBorder="1" applyAlignment="1">
      <alignment horizontal="center"/>
    </xf>
    <xf numFmtId="166" fontId="31" fillId="0" borderId="2" xfId="1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right"/>
    </xf>
    <xf numFmtId="166" fontId="3" fillId="6" borderId="0" xfId="1" applyNumberFormat="1" applyFont="1" applyFill="1" applyBorder="1" applyAlignment="1">
      <alignment horizontal="right"/>
    </xf>
    <xf numFmtId="171" fontId="60" fillId="0" borderId="0" xfId="0" applyNumberFormat="1" applyFont="1"/>
    <xf numFmtId="168" fontId="58" fillId="0" borderId="0" xfId="1" applyNumberFormat="1" applyFont="1"/>
    <xf numFmtId="168" fontId="60" fillId="0" borderId="0" xfId="1" applyNumberFormat="1" applyFont="1"/>
    <xf numFmtId="164" fontId="24" fillId="6" borderId="0" xfId="1" applyNumberFormat="1" applyFont="1" applyFill="1" applyBorder="1" applyAlignment="1">
      <alignment horizontal="center"/>
    </xf>
    <xf numFmtId="164" fontId="24" fillId="0" borderId="2" xfId="1" applyNumberFormat="1" applyFont="1" applyFill="1" applyBorder="1" applyAlignment="1">
      <alignment horizontal="center"/>
    </xf>
    <xf numFmtId="164" fontId="3" fillId="0" borderId="0" xfId="1" applyNumberFormat="1" applyFont="1"/>
    <xf numFmtId="167" fontId="3" fillId="0" borderId="0" xfId="1" applyNumberFormat="1" applyFont="1"/>
    <xf numFmtId="167" fontId="39" fillId="0" borderId="0" xfId="1" applyNumberFormat="1" applyFont="1"/>
    <xf numFmtId="49" fontId="39" fillId="0" borderId="0" xfId="0" quotePrefix="1" applyNumberFormat="1" applyFont="1" applyAlignment="1">
      <alignment horizontal="left"/>
    </xf>
    <xf numFmtId="49" fontId="39" fillId="32" borderId="6" xfId="0" quotePrefix="1" applyNumberFormat="1" applyFont="1" applyFill="1" applyBorder="1"/>
    <xf numFmtId="166" fontId="39" fillId="5" borderId="0" xfId="1" quotePrefix="1" applyNumberFormat="1" applyFont="1" applyFill="1" applyBorder="1"/>
    <xf numFmtId="174" fontId="40" fillId="0" borderId="0" xfId="1" applyNumberFormat="1" applyFont="1" applyFill="1" applyBorder="1" applyAlignment="1">
      <alignment horizontal="right"/>
    </xf>
    <xf numFmtId="174" fontId="40" fillId="0" borderId="40" xfId="0" applyNumberFormat="1" applyFont="1" applyFill="1" applyBorder="1" applyAlignment="1">
      <alignment horizontal="right"/>
    </xf>
    <xf numFmtId="174" fontId="40" fillId="0" borderId="0" xfId="0" applyNumberFormat="1" applyFont="1" applyFill="1" applyBorder="1" applyAlignment="1">
      <alignment horizontal="right"/>
    </xf>
    <xf numFmtId="174" fontId="40" fillId="0" borderId="0" xfId="0" quotePrefix="1" applyNumberFormat="1" applyFont="1" applyFill="1" applyBorder="1" applyAlignment="1">
      <alignment horizontal="right"/>
    </xf>
    <xf numFmtId="166" fontId="40" fillId="29" borderId="0" xfId="1" applyNumberFormat="1" applyFont="1" applyFill="1" applyAlignment="1">
      <alignment horizontal="right"/>
    </xf>
    <xf numFmtId="166" fontId="40" fillId="29" borderId="0" xfId="1" quotePrefix="1" applyNumberFormat="1" applyFont="1" applyFill="1" applyAlignment="1">
      <alignment horizontal="right"/>
    </xf>
    <xf numFmtId="0" fontId="40" fillId="29" borderId="0" xfId="0" quotePrefix="1" applyFont="1" applyFill="1" applyAlignment="1">
      <alignment horizontal="right"/>
    </xf>
    <xf numFmtId="174" fontId="40" fillId="17" borderId="40" xfId="0" quotePrefix="1" applyNumberFormat="1" applyFont="1" applyFill="1" applyBorder="1" applyAlignment="1">
      <alignment horizontal="right"/>
    </xf>
    <xf numFmtId="0" fontId="40" fillId="0" borderId="0" xfId="0" quotePrefix="1" applyFont="1" applyFill="1" applyAlignment="1">
      <alignment horizontal="right"/>
    </xf>
    <xf numFmtId="166" fontId="40" fillId="0" borderId="0" xfId="1" quotePrefix="1" applyNumberFormat="1" applyFont="1" applyFill="1" applyAlignment="1">
      <alignment horizontal="right"/>
    </xf>
    <xf numFmtId="166" fontId="40" fillId="0" borderId="0" xfId="1" quotePrefix="1" applyNumberFormat="1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39" fillId="10" borderId="0" xfId="0" quotePrefix="1" applyFont="1" applyFill="1" applyAlignment="1">
      <alignment horizontal="left"/>
    </xf>
    <xf numFmtId="0" fontId="40" fillId="19" borderId="8" xfId="0" quotePrefix="1" applyFont="1" applyFill="1" applyBorder="1" applyAlignment="1">
      <alignment horizontal="left"/>
    </xf>
    <xf numFmtId="0" fontId="39" fillId="10" borderId="0" xfId="0" quotePrefix="1" applyFont="1" applyFill="1" applyBorder="1" applyAlignment="1">
      <alignment horizontal="left"/>
    </xf>
    <xf numFmtId="0" fontId="39" fillId="10" borderId="4" xfId="0" quotePrefix="1" applyFont="1" applyFill="1" applyBorder="1" applyAlignment="1">
      <alignment horizontal="left"/>
    </xf>
    <xf numFmtId="0" fontId="40" fillId="20" borderId="8" xfId="0" quotePrefix="1" applyFont="1" applyFill="1" applyBorder="1" applyAlignment="1">
      <alignment horizontal="left"/>
    </xf>
    <xf numFmtId="0" fontId="39" fillId="17" borderId="0" xfId="0" quotePrefix="1" applyFont="1" applyFill="1" applyAlignment="1">
      <alignment horizontal="left"/>
    </xf>
    <xf numFmtId="0" fontId="49" fillId="17" borderId="0" xfId="0" quotePrefix="1" applyFont="1" applyFill="1" applyAlignment="1">
      <alignment horizontal="left"/>
    </xf>
    <xf numFmtId="0" fontId="40" fillId="18" borderId="8" xfId="0" quotePrefix="1" applyFont="1" applyFill="1" applyBorder="1" applyAlignment="1">
      <alignment horizontal="left"/>
    </xf>
    <xf numFmtId="0" fontId="40" fillId="27" borderId="8" xfId="0" quotePrefix="1" applyFont="1" applyFill="1" applyBorder="1" applyAlignment="1">
      <alignment horizontal="left"/>
    </xf>
    <xf numFmtId="0" fontId="39" fillId="13" borderId="0" xfId="0" quotePrefix="1" applyFont="1" applyFill="1" applyAlignment="1">
      <alignment horizontal="left"/>
    </xf>
    <xf numFmtId="0" fontId="40" fillId="15" borderId="0" xfId="0" quotePrefix="1" applyFont="1" applyFill="1" applyAlignment="1">
      <alignment horizontal="left"/>
    </xf>
    <xf numFmtId="0" fontId="39" fillId="15" borderId="8" xfId="0" quotePrefix="1" applyFont="1" applyFill="1" applyBorder="1" applyAlignment="1">
      <alignment horizontal="left"/>
    </xf>
    <xf numFmtId="0" fontId="40" fillId="14" borderId="8" xfId="0" quotePrefix="1" applyFont="1" applyFill="1" applyBorder="1" applyAlignment="1">
      <alignment horizontal="left"/>
    </xf>
    <xf numFmtId="0" fontId="40" fillId="0" borderId="0" xfId="0" quotePrefix="1" applyFont="1" applyFill="1" applyBorder="1" applyAlignment="1">
      <alignment horizontal="left"/>
    </xf>
    <xf numFmtId="0" fontId="40" fillId="29" borderId="0" xfId="0" quotePrefix="1" applyFont="1" applyFill="1" applyBorder="1" applyAlignment="1">
      <alignment horizontal="left"/>
    </xf>
    <xf numFmtId="164" fontId="40" fillId="29" borderId="22" xfId="3" quotePrefix="1" applyFont="1" applyFill="1" applyBorder="1" applyAlignment="1">
      <alignment horizontal="left"/>
    </xf>
    <xf numFmtId="43" fontId="39" fillId="0" borderId="0" xfId="0" applyNumberFormat="1" applyFont="1"/>
    <xf numFmtId="166" fontId="40" fillId="0" borderId="0" xfId="0" applyNumberFormat="1" applyFont="1" applyFill="1" applyBorder="1" applyAlignment="1">
      <alignment horizontal="left"/>
    </xf>
    <xf numFmtId="166" fontId="3" fillId="0" borderId="0" xfId="1" applyNumberFormat="1" applyFont="1" applyBorder="1"/>
    <xf numFmtId="166" fontId="56" fillId="0" borderId="0" xfId="0" applyNumberFormat="1" applyFont="1" applyFill="1"/>
    <xf numFmtId="166" fontId="4" fillId="0" borderId="0" xfId="1" applyNumberFormat="1" applyFont="1" applyFill="1" applyBorder="1" applyAlignment="1">
      <alignment horizontal="center"/>
    </xf>
    <xf numFmtId="169" fontId="10" fillId="0" borderId="0" xfId="1" applyNumberFormat="1" applyFont="1" applyFill="1" applyBorder="1" applyAlignment="1"/>
    <xf numFmtId="0" fontId="0" fillId="0" borderId="0" xfId="0" applyFill="1"/>
    <xf numFmtId="165" fontId="10" fillId="0" borderId="0" xfId="1" applyNumberFormat="1" applyFont="1" applyFill="1" applyBorder="1" applyAlignment="1"/>
    <xf numFmtId="166" fontId="3" fillId="0" borderId="0" xfId="0" applyNumberFormat="1" applyFont="1" applyFill="1" applyBorder="1"/>
    <xf numFmtId="166" fontId="16" fillId="0" borderId="9" xfId="1" applyNumberFormat="1" applyFont="1" applyFill="1" applyBorder="1"/>
    <xf numFmtId="166" fontId="16" fillId="0" borderId="10" xfId="1" applyNumberFormat="1" applyFont="1" applyFill="1" applyBorder="1"/>
    <xf numFmtId="166" fontId="16" fillId="6" borderId="6" xfId="1" applyNumberFormat="1" applyFont="1" applyFill="1" applyBorder="1"/>
    <xf numFmtId="166" fontId="40" fillId="17" borderId="12" xfId="1" applyNumberFormat="1" applyFont="1" applyFill="1" applyBorder="1"/>
    <xf numFmtId="166" fontId="40" fillId="17" borderId="12" xfId="1" quotePrefix="1" applyNumberFormat="1" applyFont="1" applyFill="1" applyBorder="1"/>
    <xf numFmtId="166" fontId="40" fillId="17" borderId="27" xfId="1" applyNumberFormat="1" applyFont="1" applyFill="1" applyBorder="1"/>
    <xf numFmtId="166" fontId="39" fillId="17" borderId="22" xfId="1" quotePrefix="1" applyNumberFormat="1" applyFont="1" applyFill="1" applyBorder="1" applyAlignment="1">
      <alignment horizontal="right"/>
    </xf>
    <xf numFmtId="166" fontId="39" fillId="17" borderId="22" xfId="1" applyNumberFormat="1" applyFont="1" applyFill="1" applyBorder="1" applyAlignment="1">
      <alignment horizontal="right"/>
    </xf>
    <xf numFmtId="166" fontId="39" fillId="17" borderId="23" xfId="1" quotePrefix="1" applyNumberFormat="1" applyFont="1" applyFill="1" applyBorder="1" applyAlignment="1">
      <alignment horizontal="right"/>
    </xf>
    <xf numFmtId="0" fontId="39" fillId="17" borderId="11" xfId="0" applyFont="1" applyFill="1" applyBorder="1"/>
    <xf numFmtId="0" fontId="39" fillId="17" borderId="1" xfId="0" applyFont="1" applyFill="1" applyBorder="1"/>
    <xf numFmtId="0" fontId="39" fillId="17" borderId="0" xfId="0" applyFont="1" applyFill="1" applyBorder="1"/>
    <xf numFmtId="0" fontId="39" fillId="17" borderId="1" xfId="0" quotePrefix="1" applyFont="1" applyFill="1" applyBorder="1"/>
    <xf numFmtId="0" fontId="39" fillId="17" borderId="21" xfId="0" quotePrefix="1" applyFont="1" applyFill="1" applyBorder="1"/>
    <xf numFmtId="0" fontId="39" fillId="17" borderId="22" xfId="0" quotePrefix="1" applyFont="1" applyFill="1" applyBorder="1"/>
    <xf numFmtId="49" fontId="39" fillId="4" borderId="12" xfId="0" quotePrefix="1" applyNumberFormat="1" applyFont="1" applyFill="1" applyBorder="1"/>
    <xf numFmtId="174" fontId="49" fillId="0" borderId="0" xfId="0" applyNumberFormat="1" applyFont="1" applyFill="1"/>
    <xf numFmtId="166" fontId="40" fillId="0" borderId="0" xfId="0" applyNumberFormat="1" applyFont="1" applyFill="1" applyBorder="1"/>
    <xf numFmtId="0" fontId="39" fillId="17" borderId="12" xfId="0" quotePrefix="1" applyFont="1" applyFill="1" applyBorder="1"/>
    <xf numFmtId="166" fontId="30" fillId="0" borderId="1" xfId="1" applyNumberFormat="1" applyFont="1" applyFill="1" applyBorder="1" applyAlignment="1">
      <alignment horizontal="right"/>
    </xf>
    <xf numFmtId="166" fontId="30" fillId="6" borderId="0" xfId="1" applyNumberFormat="1" applyFont="1" applyFill="1" applyBorder="1" applyAlignment="1">
      <alignment horizontal="right"/>
    </xf>
    <xf numFmtId="166" fontId="20" fillId="0" borderId="1" xfId="1" applyNumberFormat="1" applyFont="1" applyFill="1" applyBorder="1" applyAlignment="1">
      <alignment horizontal="center"/>
    </xf>
    <xf numFmtId="166" fontId="22" fillId="0" borderId="1" xfId="1" applyNumberFormat="1" applyFont="1" applyFill="1" applyBorder="1" applyAlignment="1">
      <alignment horizontal="center"/>
    </xf>
    <xf numFmtId="166" fontId="23" fillId="0" borderId="1" xfId="1" applyNumberFormat="1" applyFont="1" applyFill="1" applyBorder="1" applyAlignment="1">
      <alignment horizontal="center"/>
    </xf>
    <xf numFmtId="49" fontId="39" fillId="10" borderId="11" xfId="0" applyNumberFormat="1" applyFont="1" applyFill="1" applyBorder="1"/>
    <xf numFmtId="49" fontId="39" fillId="10" borderId="12" xfId="0" applyNumberFormat="1" applyFont="1" applyFill="1" applyBorder="1"/>
    <xf numFmtId="166" fontId="40" fillId="10" borderId="12" xfId="3" applyNumberFormat="1" applyFont="1" applyFill="1" applyBorder="1"/>
    <xf numFmtId="166" fontId="40" fillId="10" borderId="12" xfId="3" quotePrefix="1" applyNumberFormat="1" applyFont="1" applyFill="1" applyBorder="1"/>
    <xf numFmtId="166" fontId="40" fillId="10" borderId="27" xfId="3" applyNumberFormat="1" applyFont="1" applyFill="1" applyBorder="1"/>
    <xf numFmtId="49" fontId="39" fillId="10" borderId="1" xfId="0" applyNumberFormat="1" applyFont="1" applyFill="1" applyBorder="1"/>
    <xf numFmtId="49" fontId="39" fillId="10" borderId="0" xfId="0" applyNumberFormat="1" applyFont="1" applyFill="1" applyBorder="1"/>
    <xf numFmtId="166" fontId="40" fillId="10" borderId="0" xfId="1" quotePrefix="1" applyNumberFormat="1" applyFont="1" applyFill="1" applyBorder="1" applyAlignment="1">
      <alignment horizontal="center"/>
    </xf>
    <xf numFmtId="49" fontId="39" fillId="10" borderId="22" xfId="3" quotePrefix="1" applyNumberFormat="1" applyFont="1" applyFill="1" applyBorder="1"/>
    <xf numFmtId="166" fontId="39" fillId="10" borderId="22" xfId="3" applyNumberFormat="1" applyFont="1" applyFill="1" applyBorder="1"/>
    <xf numFmtId="166" fontId="39" fillId="10" borderId="22" xfId="3" quotePrefix="1" applyNumberFormat="1" applyFont="1" applyFill="1" applyBorder="1"/>
    <xf numFmtId="166" fontId="39" fillId="10" borderId="23" xfId="3" quotePrefix="1" applyNumberFormat="1" applyFont="1" applyFill="1" applyBorder="1"/>
    <xf numFmtId="174" fontId="39" fillId="10" borderId="0" xfId="0" quotePrefix="1" applyNumberFormat="1" applyFont="1" applyFill="1" applyAlignment="1">
      <alignment horizontal="right"/>
    </xf>
    <xf numFmtId="174" fontId="40" fillId="19" borderId="8" xfId="0" quotePrefix="1" applyNumberFormat="1" applyFont="1" applyFill="1" applyBorder="1" applyAlignment="1">
      <alignment horizontal="right"/>
    </xf>
    <xf numFmtId="174" fontId="39" fillId="10" borderId="0" xfId="0" quotePrefix="1" applyNumberFormat="1" applyFont="1" applyFill="1" applyBorder="1" applyAlignment="1">
      <alignment horizontal="right"/>
    </xf>
    <xf numFmtId="174" fontId="39" fillId="10" borderId="4" xfId="1" quotePrefix="1" applyNumberFormat="1" applyFont="1" applyFill="1" applyBorder="1" applyAlignment="1">
      <alignment horizontal="right"/>
    </xf>
    <xf numFmtId="174" fontId="39" fillId="10" borderId="4" xfId="0" quotePrefix="1" applyNumberFormat="1" applyFont="1" applyFill="1" applyBorder="1" applyAlignment="1">
      <alignment horizontal="right"/>
    </xf>
    <xf numFmtId="174" fontId="40" fillId="20" borderId="8" xfId="1" quotePrefix="1" applyNumberFormat="1" applyFont="1" applyFill="1" applyBorder="1" applyAlignment="1">
      <alignment horizontal="right"/>
    </xf>
    <xf numFmtId="174" fontId="40" fillId="20" borderId="8" xfId="0" quotePrefix="1" applyNumberFormat="1" applyFont="1" applyFill="1" applyBorder="1" applyAlignment="1">
      <alignment horizontal="right"/>
    </xf>
    <xf numFmtId="174" fontId="49" fillId="17" borderId="0" xfId="1" quotePrefix="1" applyNumberFormat="1" applyFont="1" applyFill="1" applyAlignment="1">
      <alignment horizontal="right"/>
    </xf>
    <xf numFmtId="174" fontId="49" fillId="17" borderId="0" xfId="0" quotePrefix="1" applyNumberFormat="1" applyFont="1" applyFill="1" applyAlignment="1">
      <alignment horizontal="right"/>
    </xf>
    <xf numFmtId="174" fontId="40" fillId="18" borderId="8" xfId="1" quotePrefix="1" applyNumberFormat="1" applyFont="1" applyFill="1" applyBorder="1" applyAlignment="1">
      <alignment horizontal="right"/>
    </xf>
    <xf numFmtId="174" fontId="40" fillId="18" borderId="8" xfId="0" quotePrefix="1" applyNumberFormat="1" applyFont="1" applyFill="1" applyBorder="1" applyAlignment="1">
      <alignment horizontal="right"/>
    </xf>
    <xf numFmtId="174" fontId="40" fillId="27" borderId="8" xfId="1" quotePrefix="1" applyNumberFormat="1" applyFont="1" applyFill="1" applyBorder="1" applyAlignment="1">
      <alignment horizontal="right"/>
    </xf>
    <xf numFmtId="174" fontId="40" fillId="27" borderId="8" xfId="0" quotePrefix="1" applyNumberFormat="1" applyFont="1" applyFill="1" applyBorder="1" applyAlignment="1">
      <alignment horizontal="right"/>
    </xf>
    <xf numFmtId="166" fontId="40" fillId="15" borderId="0" xfId="1" quotePrefix="1" applyNumberFormat="1" applyFont="1" applyFill="1" applyAlignment="1">
      <alignment horizontal="right"/>
    </xf>
    <xf numFmtId="38" fontId="40" fillId="15" borderId="0" xfId="0" quotePrefix="1" applyNumberFormat="1" applyFont="1" applyFill="1" applyAlignment="1">
      <alignment horizontal="right"/>
    </xf>
    <xf numFmtId="174" fontId="39" fillId="15" borderId="8" xfId="1" quotePrefix="1" applyNumberFormat="1" applyFont="1" applyFill="1" applyBorder="1" applyAlignment="1">
      <alignment horizontal="right"/>
    </xf>
    <xf numFmtId="174" fontId="39" fillId="15" borderId="8" xfId="0" quotePrefix="1" applyNumberFormat="1" applyFont="1" applyFill="1" applyBorder="1" applyAlignment="1">
      <alignment horizontal="right"/>
    </xf>
    <xf numFmtId="174" fontId="40" fillId="14" borderId="8" xfId="1" quotePrefix="1" applyNumberFormat="1" applyFont="1" applyFill="1" applyBorder="1" applyAlignment="1">
      <alignment horizontal="right"/>
    </xf>
    <xf numFmtId="174" fontId="40" fillId="14" borderId="8" xfId="0" quotePrefix="1" applyNumberFormat="1" applyFont="1" applyFill="1" applyBorder="1" applyAlignment="1">
      <alignment horizontal="right"/>
    </xf>
    <xf numFmtId="166" fontId="16" fillId="0" borderId="15" xfId="1" applyNumberFormat="1" applyFont="1" applyBorder="1" applyAlignment="1"/>
    <xf numFmtId="166" fontId="39" fillId="28" borderId="0" xfId="1" applyNumberFormat="1" applyFont="1" applyFill="1"/>
    <xf numFmtId="166" fontId="42" fillId="28" borderId="0" xfId="1" applyNumberFormat="1" applyFont="1" applyFill="1" applyAlignment="1">
      <alignment horizontal="center"/>
    </xf>
    <xf numFmtId="1" fontId="39" fillId="28" borderId="0" xfId="1" applyNumberFormat="1" applyFont="1" applyFill="1" applyAlignment="1">
      <alignment horizontal="center"/>
    </xf>
    <xf numFmtId="166" fontId="39" fillId="10" borderId="5" xfId="1" quotePrefix="1" applyNumberFormat="1" applyFont="1" applyFill="1" applyBorder="1" applyAlignment="1">
      <alignment horizontal="right"/>
    </xf>
    <xf numFmtId="166" fontId="40" fillId="20" borderId="13" xfId="1" quotePrefix="1" applyNumberFormat="1" applyFont="1" applyFill="1" applyBorder="1" applyAlignment="1">
      <alignment horizontal="right"/>
    </xf>
    <xf numFmtId="166" fontId="39" fillId="33" borderId="2" xfId="1" quotePrefix="1" applyNumberFormat="1" applyFont="1" applyFill="1" applyBorder="1" applyAlignment="1">
      <alignment horizontal="right"/>
    </xf>
    <xf numFmtId="166" fontId="49" fillId="17" borderId="2" xfId="1" quotePrefix="1" applyNumberFormat="1" applyFont="1" applyFill="1" applyBorder="1" applyAlignment="1">
      <alignment horizontal="right"/>
    </xf>
    <xf numFmtId="166" fontId="40" fillId="18" borderId="13" xfId="1" quotePrefix="1" applyNumberFormat="1" applyFont="1" applyFill="1" applyBorder="1" applyAlignment="1">
      <alignment horizontal="right"/>
    </xf>
    <xf numFmtId="166" fontId="39" fillId="34" borderId="2" xfId="1" quotePrefix="1" applyNumberFormat="1" applyFont="1" applyFill="1" applyBorder="1" applyAlignment="1">
      <alignment horizontal="right"/>
    </xf>
    <xf numFmtId="166" fontId="40" fillId="27" borderId="25" xfId="1" quotePrefix="1" applyNumberFormat="1" applyFont="1" applyFill="1" applyBorder="1" applyAlignment="1">
      <alignment horizontal="right"/>
    </xf>
    <xf numFmtId="166" fontId="39" fillId="15" borderId="13" xfId="1" quotePrefix="1" applyNumberFormat="1" applyFont="1" applyFill="1" applyBorder="1"/>
    <xf numFmtId="38" fontId="39" fillId="25" borderId="0" xfId="0" quotePrefix="1" applyNumberFormat="1" applyFont="1" applyFill="1" applyBorder="1" applyAlignment="1">
      <alignment horizontal="right"/>
    </xf>
    <xf numFmtId="166" fontId="3" fillId="0" borderId="11" xfId="1" applyNumberFormat="1" applyFont="1" applyFill="1" applyBorder="1" applyAlignment="1">
      <alignment horizontal="center"/>
    </xf>
    <xf numFmtId="166" fontId="3" fillId="6" borderId="12" xfId="1" applyNumberFormat="1" applyFont="1" applyFill="1" applyBorder="1" applyAlignment="1">
      <alignment horizontal="center"/>
    </xf>
    <xf numFmtId="166" fontId="3" fillId="0" borderId="27" xfId="1" applyNumberFormat="1" applyFont="1" applyFill="1" applyBorder="1" applyAlignment="1">
      <alignment horizontal="center"/>
    </xf>
    <xf numFmtId="174" fontId="40" fillId="5" borderId="40" xfId="0" applyNumberFormat="1" applyFont="1" applyFill="1" applyBorder="1" applyAlignment="1">
      <alignment horizontal="right"/>
    </xf>
    <xf numFmtId="166" fontId="42" fillId="0" borderId="0" xfId="1" quotePrefix="1" applyNumberFormat="1" applyFont="1" applyAlignment="1">
      <alignment horizontal="center"/>
    </xf>
    <xf numFmtId="165" fontId="32" fillId="2" borderId="17" xfId="1" applyNumberFormat="1" applyFont="1" applyFill="1" applyBorder="1" applyAlignment="1"/>
    <xf numFmtId="165" fontId="32" fillId="2" borderId="18" xfId="1" applyNumberFormat="1" applyFont="1" applyFill="1" applyBorder="1" applyAlignment="1">
      <alignment horizontal="center"/>
    </xf>
    <xf numFmtId="165" fontId="16" fillId="0" borderId="11" xfId="1" applyNumberFormat="1" applyFont="1" applyFill="1" applyBorder="1" applyAlignment="1">
      <alignment horizontal="center" wrapText="1"/>
    </xf>
    <xf numFmtId="166" fontId="16" fillId="2" borderId="12" xfId="1" applyNumberFormat="1" applyFont="1" applyFill="1" applyBorder="1" applyAlignment="1">
      <alignment horizontal="center" wrapText="1"/>
    </xf>
    <xf numFmtId="165" fontId="16" fillId="0" borderId="27" xfId="1" applyNumberFormat="1" applyFont="1" applyFill="1" applyBorder="1" applyAlignment="1">
      <alignment horizontal="center" wrapText="1"/>
    </xf>
    <xf numFmtId="166" fontId="16" fillId="2" borderId="23" xfId="1" applyNumberFormat="1" applyFont="1" applyFill="1" applyBorder="1" applyAlignment="1">
      <alignment horizontal="center"/>
    </xf>
    <xf numFmtId="166" fontId="3" fillId="0" borderId="1" xfId="1" applyNumberFormat="1" applyFont="1" applyFill="1" applyBorder="1"/>
    <xf numFmtId="166" fontId="3" fillId="6" borderId="0" xfId="1" applyNumberFormat="1" applyFont="1" applyFill="1" applyBorder="1"/>
    <xf numFmtId="166" fontId="16" fillId="2" borderId="19" xfId="1" applyNumberFormat="1" applyFont="1" applyFill="1" applyBorder="1" applyAlignment="1">
      <alignment horizontal="center" wrapText="1"/>
    </xf>
    <xf numFmtId="166" fontId="24" fillId="0" borderId="1" xfId="1" applyNumberFormat="1" applyFont="1" applyFill="1" applyBorder="1" applyAlignment="1"/>
    <xf numFmtId="166" fontId="24" fillId="2" borderId="0" xfId="1" applyNumberFormat="1" applyFont="1" applyFill="1" applyBorder="1" applyAlignment="1"/>
    <xf numFmtId="166" fontId="18" fillId="6" borderId="8" xfId="1" applyNumberFormat="1" applyFont="1" applyFill="1" applyBorder="1" applyAlignment="1">
      <alignment horizontal="center"/>
    </xf>
    <xf numFmtId="166" fontId="18" fillId="0" borderId="3" xfId="1" applyNumberFormat="1" applyFont="1" applyFill="1" applyBorder="1" applyAlignment="1">
      <alignment horizontal="center"/>
    </xf>
    <xf numFmtId="166" fontId="18" fillId="2" borderId="4" xfId="1" applyNumberFormat="1" applyFont="1" applyFill="1" applyBorder="1" applyAlignment="1">
      <alignment horizontal="center"/>
    </xf>
    <xf numFmtId="166" fontId="16" fillId="2" borderId="6" xfId="1" applyNumberFormat="1" applyFont="1" applyFill="1" applyBorder="1" applyAlignment="1">
      <alignment horizontal="center"/>
    </xf>
    <xf numFmtId="166" fontId="22" fillId="2" borderId="0" xfId="1" applyNumberFormat="1" applyFont="1" applyFill="1" applyBorder="1" applyAlignment="1">
      <alignment horizontal="center"/>
    </xf>
    <xf numFmtId="166" fontId="23" fillId="2" borderId="0" xfId="1" applyNumberFormat="1" applyFont="1" applyFill="1" applyBorder="1" applyAlignment="1">
      <alignment horizontal="center"/>
    </xf>
    <xf numFmtId="166" fontId="24" fillId="6" borderId="12" xfId="1" applyNumberFormat="1" applyFont="1" applyFill="1" applyBorder="1" applyAlignment="1">
      <alignment horizontal="center"/>
    </xf>
    <xf numFmtId="166" fontId="17" fillId="6" borderId="4" xfId="1" applyNumberFormat="1" applyFont="1" applyFill="1" applyBorder="1" applyAlignment="1">
      <alignment horizontal="center"/>
    </xf>
    <xf numFmtId="166" fontId="16" fillId="2" borderId="22" xfId="1" applyNumberFormat="1" applyFont="1" applyFill="1" applyBorder="1" applyAlignment="1"/>
    <xf numFmtId="166" fontId="16" fillId="0" borderId="16" xfId="1" applyNumberFormat="1" applyFont="1" applyBorder="1" applyAlignment="1"/>
    <xf numFmtId="171" fontId="56" fillId="32" borderId="0" xfId="0" quotePrefix="1" applyNumberFormat="1" applyFont="1" applyFill="1" applyAlignment="1">
      <alignment horizontal="right"/>
    </xf>
    <xf numFmtId="43" fontId="0" fillId="0" borderId="0" xfId="0" applyNumberFormat="1"/>
    <xf numFmtId="164" fontId="5" fillId="0" borderId="0" xfId="1" applyNumberFormat="1" applyFont="1" applyBorder="1"/>
    <xf numFmtId="0" fontId="56" fillId="0" borderId="1" xfId="0" quotePrefix="1" applyFont="1" applyFill="1" applyBorder="1"/>
    <xf numFmtId="49" fontId="56" fillId="0" borderId="0" xfId="0" quotePrefix="1" applyNumberFormat="1" applyFont="1" applyFill="1" applyBorder="1" applyAlignment="1">
      <alignment horizontal="left"/>
    </xf>
    <xf numFmtId="166" fontId="56" fillId="0" borderId="0" xfId="1" quotePrefix="1" applyNumberFormat="1" applyFont="1" applyFill="1" applyBorder="1" applyAlignment="1">
      <alignment horizontal="right"/>
    </xf>
    <xf numFmtId="166" fontId="56" fillId="0" borderId="0" xfId="1" applyNumberFormat="1" applyFont="1" applyFill="1" applyBorder="1" applyAlignment="1">
      <alignment horizontal="right"/>
    </xf>
    <xf numFmtId="166" fontId="56" fillId="0" borderId="2" xfId="1" applyNumberFormat="1" applyFont="1" applyFill="1" applyBorder="1" applyAlignment="1">
      <alignment horizontal="right"/>
    </xf>
    <xf numFmtId="0" fontId="0" fillId="0" borderId="0" xfId="1" applyNumberFormat="1" applyFont="1"/>
    <xf numFmtId="49" fontId="40" fillId="5" borderId="0" xfId="1" quotePrefix="1" applyNumberFormat="1" applyFont="1" applyFill="1" applyAlignment="1">
      <alignment horizontal="left"/>
    </xf>
    <xf numFmtId="166" fontId="40" fillId="5" borderId="6" xfId="0" applyNumberFormat="1" applyFont="1" applyFill="1" applyBorder="1" applyAlignment="1">
      <alignment horizontal="center"/>
    </xf>
    <xf numFmtId="166" fontId="40" fillId="32" borderId="33" xfId="1" quotePrefix="1" applyNumberFormat="1" applyFont="1" applyFill="1" applyBorder="1" applyAlignment="1">
      <alignment horizontal="left"/>
    </xf>
    <xf numFmtId="43" fontId="10" fillId="0" borderId="0" xfId="1" applyNumberFormat="1" applyFont="1" applyBorder="1" applyAlignment="1"/>
    <xf numFmtId="164" fontId="39" fillId="0" borderId="0" xfId="0" applyNumberFormat="1" applyFont="1" applyBorder="1"/>
    <xf numFmtId="164" fontId="39" fillId="0" borderId="0" xfId="0" applyNumberFormat="1" applyFont="1" applyFill="1" applyBorder="1" applyAlignment="1">
      <alignment horizontal="left"/>
    </xf>
    <xf numFmtId="0" fontId="51" fillId="34" borderId="11" xfId="0" applyFont="1" applyFill="1" applyBorder="1" applyAlignment="1">
      <alignment wrapText="1"/>
    </xf>
    <xf numFmtId="0" fontId="51" fillId="34" borderId="12" xfId="0" applyFont="1" applyFill="1" applyBorder="1" applyAlignment="1">
      <alignment horizontal="center" wrapText="1"/>
    </xf>
    <xf numFmtId="0" fontId="51" fillId="34" borderId="27" xfId="0" applyFont="1" applyFill="1" applyBorder="1" applyAlignment="1">
      <alignment horizontal="center" wrapText="1"/>
    </xf>
    <xf numFmtId="0" fontId="39" fillId="34" borderId="1" xfId="0" applyFont="1" applyFill="1" applyBorder="1"/>
    <xf numFmtId="0" fontId="39" fillId="34" borderId="0" xfId="0" applyFont="1" applyFill="1" applyBorder="1" applyAlignment="1">
      <alignment horizontal="center"/>
    </xf>
    <xf numFmtId="0" fontId="39" fillId="34" borderId="0" xfId="0" applyFont="1" applyFill="1" applyBorder="1"/>
    <xf numFmtId="0" fontId="52" fillId="34" borderId="3" xfId="0" applyFont="1" applyFill="1" applyBorder="1" applyAlignment="1">
      <alignment horizontal="justify" vertical="top" wrapText="1"/>
    </xf>
    <xf numFmtId="0" fontId="39" fillId="34" borderId="4" xfId="0" applyFont="1" applyFill="1" applyBorder="1"/>
    <xf numFmtId="0" fontId="51" fillId="34" borderId="1" xfId="0" applyFont="1" applyFill="1" applyBorder="1"/>
    <xf numFmtId="0" fontId="0" fillId="34" borderId="2" xfId="0" applyFill="1" applyBorder="1"/>
    <xf numFmtId="0" fontId="39" fillId="34" borderId="21" xfId="0" quotePrefix="1" applyFont="1" applyFill="1" applyBorder="1"/>
    <xf numFmtId="0" fontId="39" fillId="34" borderId="22" xfId="0" applyFont="1" applyFill="1" applyBorder="1"/>
    <xf numFmtId="171" fontId="39" fillId="34" borderId="23" xfId="2" applyNumberFormat="1" applyFont="1" applyFill="1" applyBorder="1"/>
    <xf numFmtId="166" fontId="39" fillId="23" borderId="23" xfId="1" quotePrefix="1" applyNumberFormat="1" applyFont="1" applyFill="1" applyBorder="1" applyAlignment="1">
      <alignment horizontal="right"/>
    </xf>
    <xf numFmtId="164" fontId="40" fillId="0" borderId="0" xfId="0" applyNumberFormat="1" applyFont="1" applyBorder="1" applyAlignment="1">
      <alignment horizontal="left"/>
    </xf>
    <xf numFmtId="164" fontId="39" fillId="0" borderId="0" xfId="1" applyNumberFormat="1" applyFont="1" applyFill="1" applyBorder="1"/>
    <xf numFmtId="0" fontId="39" fillId="0" borderId="0" xfId="1" applyNumberFormat="1" applyFont="1" applyFill="1" applyBorder="1"/>
    <xf numFmtId="174" fontId="39" fillId="5" borderId="0" xfId="0" quotePrefix="1" applyNumberFormat="1" applyFont="1" applyFill="1" applyAlignment="1">
      <alignment horizontal="right"/>
    </xf>
    <xf numFmtId="166" fontId="37" fillId="7" borderId="1" xfId="1" applyNumberFormat="1" applyFont="1" applyFill="1" applyBorder="1" applyAlignment="1">
      <alignment horizontal="center"/>
    </xf>
    <xf numFmtId="166" fontId="37" fillId="7" borderId="0" xfId="1" applyNumberFormat="1" applyFont="1" applyFill="1" applyBorder="1" applyAlignment="1">
      <alignment horizontal="center"/>
    </xf>
    <xf numFmtId="166" fontId="37" fillId="7" borderId="2" xfId="1" applyNumberFormat="1" applyFont="1" applyFill="1" applyBorder="1" applyAlignment="1">
      <alignment horizontal="center"/>
    </xf>
    <xf numFmtId="166" fontId="40" fillId="4" borderId="0" xfId="1" quotePrefix="1" applyNumberFormat="1" applyFont="1" applyFill="1" applyBorder="1" applyAlignment="1">
      <alignment horizontal="right"/>
    </xf>
    <xf numFmtId="166" fontId="40" fillId="4" borderId="0" xfId="1" applyNumberFormat="1" applyFont="1" applyFill="1" applyBorder="1" applyAlignment="1">
      <alignment horizontal="right"/>
    </xf>
    <xf numFmtId="166" fontId="40" fillId="4" borderId="2" xfId="1" quotePrefix="1" applyNumberFormat="1" applyFont="1" applyFill="1" applyBorder="1" applyAlignment="1">
      <alignment horizontal="right"/>
    </xf>
    <xf numFmtId="49" fontId="39" fillId="10" borderId="12" xfId="0" quotePrefix="1" applyNumberFormat="1" applyFont="1" applyFill="1" applyBorder="1"/>
    <xf numFmtId="166" fontId="40" fillId="10" borderId="12" xfId="1" applyNumberFormat="1" applyFont="1" applyFill="1" applyBorder="1"/>
    <xf numFmtId="166" fontId="40" fillId="10" borderId="12" xfId="1" quotePrefix="1" applyNumberFormat="1" applyFont="1" applyFill="1" applyBorder="1"/>
    <xf numFmtId="166" fontId="40" fillId="10" borderId="27" xfId="1" applyNumberFormat="1" applyFont="1" applyFill="1" applyBorder="1"/>
    <xf numFmtId="49" fontId="39" fillId="10" borderId="0" xfId="0" quotePrefix="1" applyNumberFormat="1" applyFont="1" applyFill="1" applyBorder="1"/>
    <xf numFmtId="166" fontId="39" fillId="10" borderId="0" xfId="1" quotePrefix="1" applyNumberFormat="1" applyFont="1" applyFill="1" applyBorder="1" applyAlignment="1">
      <alignment horizontal="center"/>
    </xf>
    <xf numFmtId="166" fontId="39" fillId="10" borderId="2" xfId="1" quotePrefix="1" applyNumberFormat="1" applyFont="1" applyFill="1" applyBorder="1" applyAlignment="1">
      <alignment horizontal="center"/>
    </xf>
    <xf numFmtId="49" fontId="39" fillId="10" borderId="1" xfId="3" quotePrefix="1" applyNumberFormat="1" applyFont="1" applyFill="1" applyBorder="1"/>
    <xf numFmtId="0" fontId="39" fillId="10" borderId="0" xfId="0" quotePrefix="1" applyNumberFormat="1" applyFont="1" applyFill="1" applyBorder="1"/>
    <xf numFmtId="49" fontId="39" fillId="10" borderId="1" xfId="0" quotePrefix="1" applyNumberFormat="1" applyFont="1" applyFill="1" applyBorder="1"/>
    <xf numFmtId="0" fontId="39" fillId="10" borderId="0" xfId="1" quotePrefix="1" applyNumberFormat="1" applyFont="1" applyFill="1" applyBorder="1" applyAlignment="1">
      <alignment horizontal="left"/>
    </xf>
    <xf numFmtId="0" fontId="39" fillId="10" borderId="22" xfId="1" quotePrefix="1" applyNumberFormat="1" applyFont="1" applyFill="1" applyBorder="1"/>
    <xf numFmtId="166" fontId="39" fillId="10" borderId="22" xfId="1" quotePrefix="1" applyNumberFormat="1" applyFont="1" applyFill="1" applyBorder="1" applyAlignment="1">
      <alignment horizontal="right"/>
    </xf>
    <xf numFmtId="166" fontId="39" fillId="10" borderId="22" xfId="1" applyNumberFormat="1" applyFont="1" applyFill="1" applyBorder="1" applyAlignment="1">
      <alignment horizontal="right"/>
    </xf>
    <xf numFmtId="166" fontId="39" fillId="10" borderId="23" xfId="1" quotePrefix="1" applyNumberFormat="1" applyFont="1" applyFill="1" applyBorder="1" applyAlignment="1">
      <alignment horizontal="right"/>
    </xf>
    <xf numFmtId="170" fontId="3" fillId="0" borderId="0" xfId="0" applyNumberFormat="1" applyFont="1"/>
    <xf numFmtId="164" fontId="28" fillId="6" borderId="0" xfId="1" quotePrefix="1" applyFont="1" applyFill="1" applyBorder="1" applyAlignment="1">
      <alignment horizontal="center" wrapText="1"/>
    </xf>
    <xf numFmtId="165" fontId="28" fillId="0" borderId="2" xfId="1" quotePrefix="1" applyNumberFormat="1" applyFont="1" applyFill="1" applyBorder="1" applyAlignment="1">
      <alignment horizontal="center" wrapText="1"/>
    </xf>
    <xf numFmtId="165" fontId="28" fillId="6" borderId="0" xfId="1" quotePrefix="1" applyNumberFormat="1" applyFont="1" applyFill="1" applyBorder="1" applyAlignment="1">
      <alignment horizontal="center" wrapText="1"/>
    </xf>
    <xf numFmtId="166" fontId="16" fillId="0" borderId="0" xfId="0" quotePrefix="1" applyNumberFormat="1" applyFont="1" applyFill="1" applyBorder="1"/>
    <xf numFmtId="166" fontId="3" fillId="0" borderId="0" xfId="0" quotePrefix="1" applyNumberFormat="1" applyFont="1" applyFill="1" applyBorder="1"/>
    <xf numFmtId="171" fontId="39" fillId="32" borderId="0" xfId="0" quotePrefix="1" applyNumberFormat="1" applyFont="1" applyFill="1" applyAlignment="1">
      <alignment horizontal="right"/>
    </xf>
    <xf numFmtId="0" fontId="40" fillId="35" borderId="8" xfId="0" quotePrefix="1" applyFont="1" applyFill="1" applyBorder="1"/>
    <xf numFmtId="49" fontId="40" fillId="35" borderId="8" xfId="0" applyNumberFormat="1" applyFont="1" applyFill="1" applyBorder="1" applyAlignment="1">
      <alignment horizontal="left"/>
    </xf>
    <xf numFmtId="166" fontId="40" fillId="35" borderId="8" xfId="1" applyNumberFormat="1" applyFont="1" applyFill="1" applyBorder="1" applyAlignment="1">
      <alignment horizontal="center"/>
    </xf>
    <xf numFmtId="169" fontId="3" fillId="0" borderId="0" xfId="1" applyNumberFormat="1" applyFont="1"/>
    <xf numFmtId="43" fontId="40" fillId="0" borderId="0" xfId="1" applyNumberFormat="1" applyFont="1"/>
    <xf numFmtId="43" fontId="39" fillId="0" borderId="0" xfId="1" applyNumberFormat="1" applyFont="1"/>
    <xf numFmtId="166" fontId="39" fillId="5" borderId="0" xfId="0" applyNumberFormat="1" applyFont="1" applyFill="1"/>
    <xf numFmtId="165" fontId="0" fillId="0" borderId="0" xfId="0" applyNumberFormat="1"/>
    <xf numFmtId="165" fontId="39" fillId="0" borderId="0" xfId="0" applyNumberFormat="1" applyFont="1" applyAlignment="1">
      <alignment horizontal="center"/>
    </xf>
    <xf numFmtId="166" fontId="40" fillId="35" borderId="33" xfId="1" applyNumberFormat="1" applyFont="1" applyFill="1" applyBorder="1" applyAlignment="1">
      <alignment horizontal="center"/>
    </xf>
    <xf numFmtId="43" fontId="40" fillId="0" borderId="0" xfId="1" quotePrefix="1" applyNumberFormat="1" applyFont="1"/>
    <xf numFmtId="166" fontId="40" fillId="33" borderId="43" xfId="1" quotePrefix="1" applyNumberFormat="1" applyFont="1" applyFill="1" applyBorder="1"/>
    <xf numFmtId="4" fontId="3" fillId="0" borderId="0" xfId="1" applyNumberFormat="1" applyFont="1"/>
    <xf numFmtId="166" fontId="62" fillId="0" borderId="0" xfId="0" applyNumberFormat="1" applyFont="1"/>
    <xf numFmtId="164" fontId="39" fillId="3" borderId="0" xfId="1" applyFont="1" applyFill="1"/>
    <xf numFmtId="0" fontId="0" fillId="0" borderId="0" xfId="0" quotePrefix="1" applyFill="1" applyBorder="1"/>
    <xf numFmtId="0" fontId="0" fillId="34" borderId="1" xfId="0" applyFill="1" applyBorder="1"/>
    <xf numFmtId="171" fontId="39" fillId="34" borderId="21" xfId="2" applyNumberFormat="1" applyFont="1" applyFill="1" applyBorder="1"/>
    <xf numFmtId="174" fontId="62" fillId="0" borderId="0" xfId="0" applyNumberFormat="1" applyFont="1"/>
    <xf numFmtId="43" fontId="0" fillId="0" borderId="0" xfId="1" applyNumberFormat="1" applyFont="1"/>
    <xf numFmtId="0" fontId="39" fillId="5" borderId="0" xfId="0" quotePrefix="1" applyFont="1" applyFill="1" applyAlignment="1">
      <alignment horizontal="left"/>
    </xf>
    <xf numFmtId="165" fontId="16" fillId="0" borderId="1" xfId="1" applyNumberFormat="1" applyFont="1" applyFill="1" applyBorder="1" applyAlignment="1">
      <alignment horizontal="center"/>
    </xf>
    <xf numFmtId="165" fontId="16" fillId="0" borderId="1" xfId="1" applyNumberFormat="1" applyFont="1" applyFill="1" applyBorder="1"/>
    <xf numFmtId="166" fontId="3" fillId="0" borderId="0" xfId="1" applyNumberFormat="1" applyFont="1" applyFill="1"/>
    <xf numFmtId="166" fontId="3" fillId="0" borderId="0" xfId="1" applyNumberFormat="1" applyFont="1" applyFill="1" applyAlignment="1">
      <alignment horizontal="center"/>
    </xf>
    <xf numFmtId="166" fontId="3" fillId="0" borderId="0" xfId="0" applyNumberFormat="1" applyFont="1" applyFill="1"/>
    <xf numFmtId="165" fontId="39" fillId="4" borderId="22" xfId="1" quotePrefix="1" applyNumberFormat="1" applyFont="1" applyFill="1" applyBorder="1" applyAlignment="1">
      <alignment horizontal="right"/>
    </xf>
    <xf numFmtId="165" fontId="30" fillId="0" borderId="1" xfId="1" applyNumberFormat="1" applyFont="1" applyFill="1" applyBorder="1" applyAlignment="1">
      <alignment horizontal="right"/>
    </xf>
    <xf numFmtId="165" fontId="31" fillId="0" borderId="1" xfId="1" applyNumberFormat="1" applyFont="1" applyFill="1" applyBorder="1" applyAlignment="1">
      <alignment horizontal="center"/>
    </xf>
    <xf numFmtId="165" fontId="24" fillId="0" borderId="1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center"/>
    </xf>
    <xf numFmtId="165" fontId="16" fillId="2" borderId="21" xfId="1" applyNumberFormat="1" applyFont="1" applyFill="1" applyBorder="1" applyAlignment="1">
      <alignment horizontal="center"/>
    </xf>
    <xf numFmtId="166" fontId="39" fillId="4" borderId="23" xfId="1" quotePrefix="1" applyNumberFormat="1" applyFont="1" applyFill="1" applyBorder="1" applyAlignment="1">
      <alignment horizontal="right"/>
    </xf>
    <xf numFmtId="166" fontId="40" fillId="12" borderId="16" xfId="1" quotePrefix="1" applyNumberFormat="1" applyFont="1" applyFill="1" applyBorder="1" applyAlignment="1">
      <alignment horizontal="right"/>
    </xf>
    <xf numFmtId="164" fontId="39" fillId="0" borderId="2" xfId="3" quotePrefix="1" applyFont="1" applyBorder="1" applyAlignment="1">
      <alignment horizontal="center"/>
    </xf>
    <xf numFmtId="0" fontId="40" fillId="22" borderId="14" xfId="0" quotePrefix="1" applyFont="1" applyFill="1" applyBorder="1"/>
    <xf numFmtId="166" fontId="39" fillId="29" borderId="23" xfId="1" quotePrefix="1" applyNumberFormat="1" applyFont="1" applyFill="1" applyBorder="1"/>
    <xf numFmtId="165" fontId="5" fillId="0" borderId="0" xfId="1" applyNumberFormat="1" applyFont="1" applyBorder="1"/>
    <xf numFmtId="0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4" fontId="5" fillId="0" borderId="0" xfId="1" applyFont="1" applyBorder="1"/>
    <xf numFmtId="166" fontId="5" fillId="0" borderId="0" xfId="1" applyNumberFormat="1" applyFont="1" applyBorder="1"/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right" vertical="center" wrapText="1"/>
    </xf>
    <xf numFmtId="0" fontId="5" fillId="0" borderId="0" xfId="0" applyFont="1" applyBorder="1"/>
    <xf numFmtId="3" fontId="27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3" fontId="25" fillId="0" borderId="0" xfId="0" applyNumberFormat="1" applyFont="1" applyBorder="1" applyAlignment="1">
      <alignment horizontal="right" vertical="center" wrapText="1"/>
    </xf>
    <xf numFmtId="166" fontId="0" fillId="0" borderId="8" xfId="0" applyNumberFormat="1" applyBorder="1"/>
    <xf numFmtId="0" fontId="0" fillId="0" borderId="0" xfId="0" applyAlignment="1">
      <alignment horizontal="right"/>
    </xf>
    <xf numFmtId="166" fontId="0" fillId="0" borderId="8" xfId="1" applyNumberFormat="1" applyFont="1" applyBorder="1"/>
    <xf numFmtId="166" fontId="0" fillId="15" borderId="0" xfId="1" applyNumberFormat="1" applyFont="1" applyFill="1"/>
    <xf numFmtId="166" fontId="0" fillId="0" borderId="4" xfId="1" applyNumberFormat="1" applyFont="1" applyBorder="1"/>
    <xf numFmtId="164" fontId="10" fillId="0" borderId="0" xfId="1" applyFont="1" applyBorder="1" applyAlignment="1"/>
    <xf numFmtId="164" fontId="5" fillId="0" borderId="0" xfId="1" applyFont="1" applyBorder="1" applyAlignment="1"/>
    <xf numFmtId="164" fontId="9" fillId="0" borderId="0" xfId="1" applyFont="1" applyBorder="1" applyAlignment="1"/>
    <xf numFmtId="164" fontId="6" fillId="0" borderId="0" xfId="1" applyFont="1" applyBorder="1" applyAlignment="1"/>
    <xf numFmtId="164" fontId="11" fillId="0" borderId="0" xfId="1" applyFont="1" applyBorder="1" applyAlignment="1"/>
    <xf numFmtId="164" fontId="13" fillId="0" borderId="0" xfId="1" applyFont="1" applyBorder="1" applyAlignment="1"/>
    <xf numFmtId="164" fontId="14" fillId="0" borderId="0" xfId="1" applyFont="1" applyBorder="1" applyAlignment="1"/>
    <xf numFmtId="166" fontId="9" fillId="0" borderId="0" xfId="0" applyNumberFormat="1" applyFont="1" applyBorder="1" applyAlignment="1"/>
    <xf numFmtId="174" fontId="3" fillId="0" borderId="0" xfId="0" applyNumberFormat="1" applyFont="1"/>
    <xf numFmtId="169" fontId="3" fillId="0" borderId="0" xfId="0" applyNumberFormat="1" applyFont="1"/>
    <xf numFmtId="165" fontId="28" fillId="2" borderId="17" xfId="1" applyNumberFormat="1" applyFont="1" applyFill="1" applyBorder="1" applyAlignment="1">
      <alignment horizontal="center"/>
    </xf>
    <xf numFmtId="166" fontId="40" fillId="0" borderId="0" xfId="1" quotePrefix="1" applyNumberFormat="1" applyFont="1" applyFill="1" applyBorder="1" applyAlignment="1">
      <alignment horizontal="left"/>
    </xf>
    <xf numFmtId="0" fontId="40" fillId="0" borderId="0" xfId="0" quotePrefix="1" applyFont="1" applyFill="1" applyBorder="1" applyAlignment="1">
      <alignment horizontal="center"/>
    </xf>
    <xf numFmtId="38" fontId="40" fillId="0" borderId="0" xfId="0" quotePrefix="1" applyNumberFormat="1" applyFont="1" applyFill="1" applyBorder="1" applyAlignment="1">
      <alignment horizontal="center"/>
    </xf>
    <xf numFmtId="38" fontId="40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9" fillId="0" borderId="0" xfId="0" applyFont="1" applyFill="1" applyBorder="1" applyAlignment="1">
      <alignment horizontal="left"/>
    </xf>
    <xf numFmtId="164" fontId="40" fillId="0" borderId="0" xfId="1" quotePrefix="1" applyFont="1" applyFill="1" applyBorder="1" applyAlignment="1">
      <alignment horizontal="center"/>
    </xf>
    <xf numFmtId="0" fontId="39" fillId="0" borderId="0" xfId="0" quotePrefix="1" applyFont="1" applyFill="1" applyBorder="1" applyAlignment="1">
      <alignment horizontal="left"/>
    </xf>
    <xf numFmtId="174" fontId="39" fillId="0" borderId="0" xfId="1" quotePrefix="1" applyNumberFormat="1" applyFont="1" applyFill="1" applyBorder="1" applyAlignment="1">
      <alignment horizontal="right"/>
    </xf>
    <xf numFmtId="174" fontId="39" fillId="0" borderId="0" xfId="0" quotePrefix="1" applyNumberFormat="1" applyFont="1" applyFill="1" applyBorder="1" applyAlignment="1">
      <alignment horizontal="right"/>
    </xf>
    <xf numFmtId="174" fontId="39" fillId="0" borderId="0" xfId="0" applyNumberFormat="1" applyFont="1" applyFill="1" applyBorder="1" applyAlignment="1">
      <alignment horizontal="right"/>
    </xf>
    <xf numFmtId="174" fontId="39" fillId="0" borderId="0" xfId="1" applyNumberFormat="1" applyFont="1" applyFill="1" applyBorder="1" applyAlignment="1">
      <alignment horizontal="right"/>
    </xf>
    <xf numFmtId="166" fontId="39" fillId="0" borderId="0" xfId="0" applyNumberFormat="1" applyFont="1" applyFill="1" applyBorder="1"/>
    <xf numFmtId="174" fontId="39" fillId="0" borderId="0" xfId="0" applyNumberFormat="1" applyFont="1" applyFill="1" applyBorder="1"/>
    <xf numFmtId="174" fontId="0" fillId="0" borderId="0" xfId="0" applyNumberFormat="1" applyFill="1" applyBorder="1"/>
    <xf numFmtId="174" fontId="3" fillId="0" borderId="0" xfId="0" applyNumberFormat="1" applyFont="1" applyFill="1" applyBorder="1"/>
    <xf numFmtId="165" fontId="3" fillId="0" borderId="0" xfId="1" applyNumberFormat="1" applyFont="1" applyFill="1" applyBorder="1"/>
    <xf numFmtId="164" fontId="3" fillId="0" borderId="0" xfId="1" applyFont="1" applyFill="1" applyBorder="1"/>
    <xf numFmtId="166" fontId="3" fillId="0" borderId="0" xfId="1" applyNumberFormat="1" applyFont="1" applyFill="1" applyBorder="1"/>
    <xf numFmtId="174" fontId="39" fillId="0" borderId="0" xfId="1" quotePrefix="1" applyNumberFormat="1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166" fontId="6" fillId="0" borderId="0" xfId="1" applyNumberFormat="1" applyFont="1" applyFill="1" applyBorder="1"/>
    <xf numFmtId="166" fontId="6" fillId="0" borderId="0" xfId="0" applyNumberFormat="1" applyFont="1" applyFill="1" applyBorder="1"/>
    <xf numFmtId="0" fontId="49" fillId="0" borderId="0" xfId="0" quotePrefix="1" applyFont="1" applyFill="1" applyBorder="1" applyAlignment="1">
      <alignment horizontal="left"/>
    </xf>
    <xf numFmtId="167" fontId="6" fillId="0" borderId="0" xfId="1" applyNumberFormat="1" applyFont="1" applyFill="1" applyBorder="1"/>
    <xf numFmtId="164" fontId="40" fillId="0" borderId="0" xfId="3" quotePrefix="1" applyFont="1" applyFill="1" applyBorder="1" applyAlignment="1">
      <alignment horizontal="left"/>
    </xf>
    <xf numFmtId="164" fontId="5" fillId="0" borderId="0" xfId="0" applyNumberFormat="1" applyFont="1" applyFill="1" applyBorder="1"/>
    <xf numFmtId="166" fontId="3" fillId="6" borderId="22" xfId="1" applyNumberFormat="1" applyFont="1" applyFill="1" applyBorder="1" applyAlignment="1">
      <alignment horizontal="center"/>
    </xf>
    <xf numFmtId="166" fontId="3" fillId="0" borderId="23" xfId="1" applyNumberFormat="1" applyFont="1" applyFill="1" applyBorder="1" applyAlignment="1">
      <alignment horizontal="center"/>
    </xf>
    <xf numFmtId="166" fontId="3" fillId="0" borderId="17" xfId="1" applyNumberFormat="1" applyFont="1" applyFill="1" applyBorder="1" applyAlignment="1">
      <alignment horizontal="center"/>
    </xf>
    <xf numFmtId="166" fontId="3" fillId="6" borderId="18" xfId="1" applyNumberFormat="1" applyFont="1" applyFill="1" applyBorder="1" applyAlignment="1">
      <alignment horizontal="center"/>
    </xf>
    <xf numFmtId="166" fontId="3" fillId="0" borderId="18" xfId="1" applyNumberFormat="1" applyFont="1" applyFill="1" applyBorder="1" applyAlignment="1">
      <alignment horizontal="center"/>
    </xf>
    <xf numFmtId="166" fontId="3" fillId="0" borderId="29" xfId="1" applyNumberFormat="1" applyFont="1" applyFill="1" applyBorder="1" applyAlignment="1">
      <alignment horizontal="center"/>
    </xf>
    <xf numFmtId="166" fontId="18" fillId="0" borderId="11" xfId="1" applyNumberFormat="1" applyFont="1" applyFill="1" applyBorder="1" applyAlignment="1">
      <alignment horizontal="center"/>
    </xf>
    <xf numFmtId="166" fontId="18" fillId="6" borderId="12" xfId="1" applyNumberFormat="1" applyFont="1" applyFill="1" applyBorder="1" applyAlignment="1">
      <alignment horizontal="center"/>
    </xf>
    <xf numFmtId="166" fontId="18" fillId="0" borderId="27" xfId="1" applyNumberFormat="1" applyFont="1" applyFill="1" applyBorder="1" applyAlignment="1">
      <alignment horizontal="center"/>
    </xf>
    <xf numFmtId="166" fontId="37" fillId="7" borderId="21" xfId="1" applyNumberFormat="1" applyFont="1" applyFill="1" applyBorder="1" applyAlignment="1">
      <alignment horizontal="center"/>
    </xf>
    <xf numFmtId="166" fontId="37" fillId="7" borderId="22" xfId="1" applyNumberFormat="1" applyFont="1" applyFill="1" applyBorder="1" applyAlignment="1">
      <alignment horizontal="center"/>
    </xf>
    <xf numFmtId="166" fontId="37" fillId="7" borderId="23" xfId="1" applyNumberFormat="1" applyFont="1" applyFill="1" applyBorder="1" applyAlignment="1">
      <alignment horizontal="center"/>
    </xf>
    <xf numFmtId="166" fontId="3" fillId="0" borderId="21" xfId="1" applyNumberFormat="1" applyFont="1" applyFill="1" applyBorder="1" applyAlignment="1">
      <alignment horizontal="center"/>
    </xf>
    <xf numFmtId="166" fontId="3" fillId="0" borderId="22" xfId="1" applyNumberFormat="1" applyFont="1" applyFill="1" applyBorder="1" applyAlignment="1">
      <alignment horizontal="center"/>
    </xf>
    <xf numFmtId="166" fontId="16" fillId="6" borderId="22" xfId="1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7" fontId="5" fillId="0" borderId="0" xfId="1" applyNumberFormat="1" applyFont="1" applyFill="1"/>
    <xf numFmtId="167" fontId="5" fillId="0" borderId="0" xfId="1" applyNumberFormat="1" applyFont="1" applyFill="1" applyBorder="1"/>
    <xf numFmtId="165" fontId="5" fillId="0" borderId="0" xfId="1" quotePrefix="1" applyNumberFormat="1" applyFont="1" applyFill="1"/>
    <xf numFmtId="166" fontId="5" fillId="0" borderId="0" xfId="1" applyNumberFormat="1" applyFont="1" applyFill="1"/>
    <xf numFmtId="165" fontId="5" fillId="0" borderId="0" xfId="1" applyNumberFormat="1" applyFont="1" applyFill="1"/>
    <xf numFmtId="166" fontId="6" fillId="0" borderId="0" xfId="0" applyNumberFormat="1" applyFont="1" applyBorder="1" applyAlignment="1"/>
    <xf numFmtId="16" fontId="63" fillId="0" borderId="0" xfId="0" applyNumberFormat="1" applyFont="1" applyBorder="1" applyAlignment="1">
      <alignment horizontal="center"/>
    </xf>
    <xf numFmtId="165" fontId="63" fillId="0" borderId="0" xfId="1" applyNumberFormat="1" applyFont="1" applyBorder="1" applyAlignment="1">
      <alignment horizontal="center"/>
    </xf>
    <xf numFmtId="0" fontId="64" fillId="0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166" fontId="30" fillId="0" borderId="0" xfId="1" applyNumberFormat="1" applyFont="1" applyFill="1" applyBorder="1" applyAlignment="1">
      <alignment horizontal="center"/>
    </xf>
    <xf numFmtId="0" fontId="51" fillId="0" borderId="11" xfId="0" applyFont="1" applyFill="1" applyBorder="1" applyAlignment="1">
      <alignment wrapText="1"/>
    </xf>
    <xf numFmtId="0" fontId="51" fillId="0" borderId="27" xfId="0" applyFont="1" applyFill="1" applyBorder="1" applyAlignment="1">
      <alignment horizontal="center" wrapText="1"/>
    </xf>
    <xf numFmtId="0" fontId="39" fillId="0" borderId="11" xfId="0" applyFont="1" applyFill="1" applyBorder="1"/>
    <xf numFmtId="0" fontId="51" fillId="0" borderId="38" xfId="0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/>
    </xf>
    <xf numFmtId="170" fontId="10" fillId="0" borderId="0" xfId="1" applyNumberFormat="1" applyFont="1" applyBorder="1" applyAlignment="1"/>
    <xf numFmtId="165" fontId="4" fillId="0" borderId="0" xfId="1" applyNumberFormat="1" applyFont="1" applyBorder="1" applyAlignment="1">
      <alignment horizontal="center"/>
    </xf>
    <xf numFmtId="43" fontId="39" fillId="0" borderId="0" xfId="0" applyNumberFormat="1" applyFont="1" applyFill="1"/>
    <xf numFmtId="167" fontId="10" fillId="0" borderId="0" xfId="1" applyNumberFormat="1" applyFont="1" applyBorder="1" applyAlignment="1"/>
    <xf numFmtId="169" fontId="10" fillId="0" borderId="0" xfId="1" applyNumberFormat="1" applyFont="1" applyBorder="1" applyAlignment="1"/>
    <xf numFmtId="177" fontId="39" fillId="0" borderId="0" xfId="0" applyNumberFormat="1" applyFont="1" applyFill="1"/>
    <xf numFmtId="0" fontId="28" fillId="0" borderId="0" xfId="0" quotePrefix="1" applyFont="1" applyBorder="1" applyAlignment="1">
      <alignment horizontal="center"/>
    </xf>
    <xf numFmtId="165" fontId="28" fillId="2" borderId="18" xfId="1" quotePrefix="1" applyNumberFormat="1" applyFont="1" applyFill="1" applyBorder="1" applyAlignment="1">
      <alignment horizontal="center"/>
    </xf>
    <xf numFmtId="0" fontId="28" fillId="0" borderId="0" xfId="0" quotePrefix="1" applyFont="1"/>
    <xf numFmtId="165" fontId="16" fillId="0" borderId="17" xfId="1" quotePrefix="1" applyNumberFormat="1" applyFont="1" applyFill="1" applyBorder="1" applyAlignment="1">
      <alignment horizontal="center"/>
    </xf>
    <xf numFmtId="165" fontId="16" fillId="2" borderId="18" xfId="1" quotePrefix="1" applyNumberFormat="1" applyFont="1" applyFill="1" applyBorder="1" applyAlignment="1">
      <alignment horizontal="center"/>
    </xf>
    <xf numFmtId="165" fontId="16" fillId="0" borderId="29" xfId="1" quotePrefix="1" applyNumberFormat="1" applyFont="1" applyFill="1" applyBorder="1" applyAlignment="1">
      <alignment horizontal="center"/>
    </xf>
    <xf numFmtId="165" fontId="18" fillId="0" borderId="29" xfId="1" quotePrefix="1" applyNumberFormat="1" applyFont="1" applyFill="1" applyBorder="1" applyAlignment="1">
      <alignment horizontal="center"/>
    </xf>
    <xf numFmtId="0" fontId="3" fillId="0" borderId="0" xfId="0" quotePrefix="1" applyFont="1" applyFill="1"/>
    <xf numFmtId="166" fontId="3" fillId="0" borderId="1" xfId="1" quotePrefix="1" applyNumberFormat="1" applyFont="1" applyFill="1" applyBorder="1" applyAlignment="1">
      <alignment horizontal="center"/>
    </xf>
    <xf numFmtId="166" fontId="3" fillId="6" borderId="0" xfId="1" quotePrefix="1" applyNumberFormat="1" applyFont="1" applyFill="1" applyBorder="1" applyAlignment="1">
      <alignment horizontal="center"/>
    </xf>
    <xf numFmtId="166" fontId="3" fillId="0" borderId="2" xfId="1" quotePrefix="1" applyNumberFormat="1" applyFont="1" applyFill="1" applyBorder="1" applyAlignment="1">
      <alignment horizontal="center"/>
    </xf>
    <xf numFmtId="0" fontId="37" fillId="7" borderId="0" xfId="0" quotePrefix="1" applyFont="1" applyFill="1"/>
    <xf numFmtId="166" fontId="16" fillId="0" borderId="0" xfId="1" quotePrefix="1" applyNumberFormat="1" applyFont="1" applyFill="1" applyBorder="1" applyAlignment="1">
      <alignment horizontal="center"/>
    </xf>
    <xf numFmtId="164" fontId="6" fillId="0" borderId="0" xfId="0" applyNumberFormat="1" applyFont="1" applyBorder="1" applyAlignment="1"/>
    <xf numFmtId="166" fontId="0" fillId="0" borderId="0" xfId="1" applyNumberFormat="1" applyFont="1" applyAlignment="1">
      <alignment horizontal="right"/>
    </xf>
    <xf numFmtId="167" fontId="0" fillId="0" borderId="0" xfId="1" applyNumberFormat="1" applyFont="1"/>
    <xf numFmtId="167" fontId="8" fillId="0" borderId="0" xfId="1" applyNumberFormat="1" applyFont="1" applyBorder="1" applyAlignment="1">
      <alignment horizontal="center"/>
    </xf>
    <xf numFmtId="167" fontId="12" fillId="0" borderId="0" xfId="1" applyNumberFormat="1" applyFont="1" applyBorder="1" applyAlignment="1">
      <alignment horizontal="center"/>
    </xf>
    <xf numFmtId="167" fontId="16" fillId="0" borderId="28" xfId="1" quotePrefix="1" applyNumberFormat="1" applyFont="1" applyFill="1" applyBorder="1" applyAlignment="1">
      <alignment horizontal="center" wrapText="1"/>
    </xf>
    <xf numFmtId="167" fontId="28" fillId="0" borderId="1" xfId="1" quotePrefix="1" applyNumberFormat="1" applyFont="1" applyFill="1" applyBorder="1" applyAlignment="1">
      <alignment horizontal="center" wrapText="1"/>
    </xf>
    <xf numFmtId="167" fontId="24" fillId="0" borderId="1" xfId="1" applyNumberFormat="1" applyFont="1" applyFill="1" applyBorder="1" applyAlignment="1">
      <alignment horizontal="center"/>
    </xf>
    <xf numFmtId="167" fontId="40" fillId="0" borderId="0" xfId="1" quotePrefix="1" applyNumberFormat="1" applyFont="1" applyFill="1" applyBorder="1" applyAlignment="1">
      <alignment horizontal="center"/>
    </xf>
    <xf numFmtId="167" fontId="39" fillId="0" borderId="0" xfId="1" quotePrefix="1" applyNumberFormat="1" applyFont="1" applyFill="1" applyBorder="1" applyAlignment="1">
      <alignment horizontal="right"/>
    </xf>
    <xf numFmtId="167" fontId="3" fillId="0" borderId="0" xfId="1" applyNumberFormat="1" applyFont="1" applyFill="1" applyBorder="1"/>
    <xf numFmtId="166" fontId="16" fillId="0" borderId="17" xfId="1" quotePrefix="1" applyNumberFormat="1" applyFont="1" applyFill="1" applyBorder="1" applyAlignment="1">
      <alignment horizontal="center"/>
    </xf>
    <xf numFmtId="166" fontId="5" fillId="0" borderId="0" xfId="1" applyNumberFormat="1" applyFont="1"/>
    <xf numFmtId="166" fontId="7" fillId="0" borderId="0" xfId="1" applyNumberFormat="1" applyFont="1" applyFill="1" applyBorder="1" applyAlignment="1">
      <alignment horizontal="center"/>
    </xf>
    <xf numFmtId="166" fontId="27" fillId="0" borderId="0" xfId="1" applyNumberFormat="1" applyFont="1" applyBorder="1" applyAlignment="1">
      <alignment horizontal="right" vertical="center" wrapText="1"/>
    </xf>
    <xf numFmtId="166" fontId="25" fillId="0" borderId="0" xfId="1" applyNumberFormat="1" applyFont="1" applyBorder="1" applyAlignment="1">
      <alignment horizontal="right" vertical="center" wrapText="1"/>
    </xf>
    <xf numFmtId="166" fontId="16" fillId="0" borderId="1" xfId="1" applyNumberFormat="1" applyFont="1" applyBorder="1"/>
    <xf numFmtId="165" fontId="10" fillId="5" borderId="0" xfId="1" applyNumberFormat="1" applyFont="1" applyFill="1" applyBorder="1" applyAlignment="1"/>
    <xf numFmtId="165" fontId="10" fillId="0" borderId="0" xfId="0" applyNumberFormat="1" applyFont="1" applyBorder="1" applyAlignment="1"/>
    <xf numFmtId="166" fontId="39" fillId="7" borderId="40" xfId="1" quotePrefix="1" applyNumberFormat="1" applyFont="1" applyFill="1" applyBorder="1" applyAlignment="1">
      <alignment horizontal="right"/>
    </xf>
    <xf numFmtId="166" fontId="40" fillId="7" borderId="39" xfId="1" quotePrefix="1" applyNumberFormat="1" applyFont="1" applyFill="1" applyBorder="1" applyAlignment="1">
      <alignment horizontal="right"/>
    </xf>
    <xf numFmtId="166" fontId="39" fillId="33" borderId="40" xfId="1" quotePrefix="1" applyNumberFormat="1" applyFont="1" applyFill="1" applyBorder="1" applyAlignment="1">
      <alignment horizontal="right"/>
    </xf>
    <xf numFmtId="166" fontId="49" fillId="7" borderId="40" xfId="1" quotePrefix="1" applyNumberFormat="1" applyFont="1" applyFill="1" applyBorder="1" applyAlignment="1">
      <alignment horizontal="right"/>
    </xf>
    <xf numFmtId="166" fontId="39" fillId="5" borderId="40" xfId="1" quotePrefix="1" applyNumberFormat="1" applyFont="1" applyFill="1" applyBorder="1" applyAlignment="1">
      <alignment horizontal="right"/>
    </xf>
    <xf numFmtId="166" fontId="40" fillId="7" borderId="39" xfId="1" quotePrefix="1" applyNumberFormat="1" applyFont="1" applyFill="1" applyBorder="1"/>
    <xf numFmtId="38" fontId="39" fillId="7" borderId="40" xfId="0" quotePrefix="1" applyNumberFormat="1" applyFont="1" applyFill="1" applyBorder="1" applyAlignment="1">
      <alignment horizontal="right"/>
    </xf>
    <xf numFmtId="38" fontId="39" fillId="25" borderId="2" xfId="0" quotePrefix="1" applyNumberFormat="1" applyFont="1" applyFill="1" applyBorder="1" applyAlignment="1">
      <alignment horizontal="right"/>
    </xf>
    <xf numFmtId="166" fontId="39" fillId="7" borderId="51" xfId="1" quotePrefix="1" applyNumberFormat="1" applyFont="1" applyFill="1" applyBorder="1" applyAlignment="1">
      <alignment horizontal="right"/>
    </xf>
    <xf numFmtId="166" fontId="39" fillId="25" borderId="2" xfId="1" quotePrefix="1" applyNumberFormat="1" applyFont="1" applyFill="1" applyBorder="1" applyAlignment="1">
      <alignment horizontal="right"/>
    </xf>
    <xf numFmtId="166" fontId="0" fillId="0" borderId="0" xfId="1" applyNumberFormat="1" applyFont="1" applyFill="1"/>
    <xf numFmtId="0" fontId="9" fillId="0" borderId="0" xfId="0" applyFont="1" applyFill="1" applyBorder="1" applyAlignment="1"/>
    <xf numFmtId="166" fontId="9" fillId="0" borderId="0" xfId="0" applyNumberFormat="1" applyFont="1" applyFill="1" applyBorder="1" applyAlignment="1"/>
    <xf numFmtId="49" fontId="40" fillId="0" borderId="0" xfId="1" applyNumberFormat="1" applyFont="1" applyFill="1" applyBorder="1" applyAlignment="1">
      <alignment horizontal="right"/>
    </xf>
    <xf numFmtId="164" fontId="39" fillId="10" borderId="0" xfId="1" quotePrefix="1" applyFont="1" applyFill="1" applyBorder="1" applyAlignment="1">
      <alignment horizontal="right"/>
    </xf>
    <xf numFmtId="164" fontId="39" fillId="4" borderId="0" xfId="3" quotePrefix="1" applyFont="1" applyFill="1" applyBorder="1"/>
    <xf numFmtId="165" fontId="39" fillId="4" borderId="0" xfId="1" quotePrefix="1" applyNumberFormat="1" applyFont="1" applyFill="1" applyBorder="1" applyAlignment="1">
      <alignment horizontal="right"/>
    </xf>
    <xf numFmtId="165" fontId="39" fillId="4" borderId="22" xfId="1" quotePrefix="1" applyNumberFormat="1" applyFont="1" applyFill="1" applyBorder="1" applyAlignment="1">
      <alignment horizontal="left"/>
    </xf>
    <xf numFmtId="0" fontId="39" fillId="0" borderId="11" xfId="0" quotePrefix="1" applyFont="1" applyBorder="1"/>
    <xf numFmtId="166" fontId="39" fillId="7" borderId="2" xfId="1" quotePrefix="1" applyNumberFormat="1" applyFont="1" applyFill="1" applyBorder="1" applyAlignment="1">
      <alignment horizontal="right"/>
    </xf>
    <xf numFmtId="166" fontId="40" fillId="29" borderId="40" xfId="1" quotePrefix="1" applyNumberFormat="1" applyFont="1" applyFill="1" applyBorder="1" applyAlignment="1">
      <alignment horizontal="right"/>
    </xf>
    <xf numFmtId="0" fontId="39" fillId="5" borderId="0" xfId="0" quotePrefix="1" applyFont="1" applyFill="1" applyBorder="1"/>
    <xf numFmtId="166" fontId="39" fillId="0" borderId="0" xfId="3" quotePrefix="1" applyNumberFormat="1" applyFont="1"/>
    <xf numFmtId="166" fontId="39" fillId="0" borderId="0" xfId="3" applyNumberFormat="1" applyFont="1"/>
    <xf numFmtId="166" fontId="39" fillId="0" borderId="0" xfId="3" quotePrefix="1" applyNumberFormat="1" applyFont="1" applyBorder="1"/>
    <xf numFmtId="166" fontId="39" fillId="0" borderId="0" xfId="3" applyNumberFormat="1" applyFont="1" applyAlignment="1">
      <alignment horizontal="left"/>
    </xf>
    <xf numFmtId="166" fontId="39" fillId="0" borderId="0" xfId="3" applyNumberFormat="1" applyFont="1" applyBorder="1"/>
    <xf numFmtId="166" fontId="39" fillId="0" borderId="0" xfId="3" quotePrefix="1" applyNumberFormat="1" applyFont="1" applyBorder="1" applyAlignment="1">
      <alignment horizontal="center"/>
    </xf>
    <xf numFmtId="166" fontId="39" fillId="34" borderId="0" xfId="3" applyNumberFormat="1" applyFont="1" applyFill="1" applyBorder="1"/>
    <xf numFmtId="168" fontId="39" fillId="34" borderId="0" xfId="3" applyNumberFormat="1" applyFont="1" applyFill="1" applyBorder="1"/>
    <xf numFmtId="168" fontId="39" fillId="34" borderId="2" xfId="3" applyNumberFormat="1" applyFont="1" applyFill="1" applyBorder="1"/>
    <xf numFmtId="168" fontId="39" fillId="34" borderId="1" xfId="3" applyNumberFormat="1" applyFont="1" applyFill="1" applyBorder="1"/>
    <xf numFmtId="166" fontId="0" fillId="0" borderId="0" xfId="3" applyNumberFormat="1" applyFont="1"/>
    <xf numFmtId="174" fontId="39" fillId="34" borderId="0" xfId="3" applyNumberFormat="1" applyFont="1" applyFill="1" applyBorder="1"/>
    <xf numFmtId="174" fontId="39" fillId="34" borderId="2" xfId="3" applyNumberFormat="1" applyFont="1" applyFill="1" applyBorder="1"/>
    <xf numFmtId="174" fontId="39" fillId="34" borderId="1" xfId="3" applyNumberFormat="1" applyFont="1" applyFill="1" applyBorder="1"/>
    <xf numFmtId="166" fontId="39" fillId="34" borderId="4" xfId="3" applyNumberFormat="1" applyFont="1" applyFill="1" applyBorder="1"/>
    <xf numFmtId="43" fontId="39" fillId="34" borderId="4" xfId="3" applyNumberFormat="1" applyFont="1" applyFill="1" applyBorder="1"/>
    <xf numFmtId="43" fontId="39" fillId="34" borderId="5" xfId="3" applyNumberFormat="1" applyFont="1" applyFill="1" applyBorder="1"/>
    <xf numFmtId="43" fontId="39" fillId="34" borderId="3" xfId="3" applyNumberFormat="1" applyFont="1" applyFill="1" applyBorder="1"/>
    <xf numFmtId="166" fontId="51" fillId="34" borderId="0" xfId="3" applyNumberFormat="1" applyFont="1" applyFill="1" applyBorder="1"/>
    <xf numFmtId="174" fontId="51" fillId="34" borderId="0" xfId="3" applyNumberFormat="1" applyFont="1" applyFill="1" applyBorder="1"/>
    <xf numFmtId="174" fontId="51" fillId="34" borderId="2" xfId="3" applyNumberFormat="1" applyFont="1" applyFill="1" applyBorder="1"/>
    <xf numFmtId="174" fontId="51" fillId="34" borderId="1" xfId="3" applyNumberFormat="1" applyFont="1" applyFill="1" applyBorder="1"/>
    <xf numFmtId="171" fontId="65" fillId="0" borderId="0" xfId="2" applyNumberFormat="1" applyFont="1"/>
    <xf numFmtId="0" fontId="51" fillId="17" borderId="38" xfId="0" applyFont="1" applyFill="1" applyBorder="1" applyAlignment="1">
      <alignment horizontal="center" wrapText="1"/>
    </xf>
    <xf numFmtId="165" fontId="39" fillId="0" borderId="38" xfId="3" applyNumberFormat="1" applyFont="1" applyFill="1" applyBorder="1"/>
    <xf numFmtId="166" fontId="39" fillId="0" borderId="38" xfId="3" applyNumberFormat="1" applyFont="1" applyFill="1" applyBorder="1"/>
    <xf numFmtId="166" fontId="39" fillId="17" borderId="38" xfId="3" applyNumberFormat="1" applyFont="1" applyFill="1" applyBorder="1" applyAlignment="1">
      <alignment horizontal="left"/>
    </xf>
    <xf numFmtId="166" fontId="39" fillId="0" borderId="27" xfId="3" applyNumberFormat="1" applyFont="1" applyFill="1" applyBorder="1"/>
    <xf numFmtId="165" fontId="39" fillId="0" borderId="40" xfId="3" applyNumberFormat="1" applyFont="1" applyFill="1" applyBorder="1"/>
    <xf numFmtId="166" fontId="39" fillId="0" borderId="40" xfId="3" applyNumberFormat="1" applyFont="1" applyFill="1" applyBorder="1"/>
    <xf numFmtId="166" fontId="39" fillId="17" borderId="40" xfId="3" applyNumberFormat="1" applyFont="1" applyFill="1" applyBorder="1" applyAlignment="1">
      <alignment horizontal="left"/>
    </xf>
    <xf numFmtId="166" fontId="39" fillId="0" borderId="2" xfId="3" applyNumberFormat="1" applyFont="1" applyFill="1" applyBorder="1"/>
    <xf numFmtId="166" fontId="39" fillId="23" borderId="21" xfId="3" applyNumberFormat="1" applyFont="1" applyFill="1" applyBorder="1"/>
    <xf numFmtId="166" fontId="39" fillId="23" borderId="43" xfId="3" applyNumberFormat="1" applyFont="1" applyFill="1" applyBorder="1"/>
    <xf numFmtId="166" fontId="39" fillId="23" borderId="43" xfId="3" applyNumberFormat="1" applyFont="1" applyFill="1" applyBorder="1" applyAlignment="1">
      <alignment horizontal="left"/>
    </xf>
    <xf numFmtId="166" fontId="39" fillId="17" borderId="43" xfId="3" applyNumberFormat="1" applyFont="1" applyFill="1" applyBorder="1" applyAlignment="1">
      <alignment horizontal="left"/>
    </xf>
    <xf numFmtId="166" fontId="39" fillId="23" borderId="23" xfId="3" applyNumberFormat="1" applyFont="1" applyFill="1" applyBorder="1"/>
    <xf numFmtId="166" fontId="39" fillId="0" borderId="0" xfId="3" applyNumberFormat="1" applyFont="1" applyFill="1"/>
    <xf numFmtId="166" fontId="39" fillId="0" borderId="0" xfId="3" applyNumberFormat="1" applyFont="1" applyFill="1" applyAlignment="1">
      <alignment horizontal="left"/>
    </xf>
    <xf numFmtId="166" fontId="39" fillId="4" borderId="2" xfId="1" applyNumberFormat="1" applyFont="1" applyFill="1" applyBorder="1" applyAlignment="1">
      <alignment horizontal="right"/>
    </xf>
    <xf numFmtId="165" fontId="17" fillId="5" borderId="0" xfId="1" applyNumberFormat="1" applyFont="1" applyFill="1" applyBorder="1" applyAlignment="1"/>
    <xf numFmtId="166" fontId="3" fillId="5" borderId="0" xfId="1" applyNumberFormat="1" applyFont="1" applyFill="1" applyBorder="1" applyAlignment="1">
      <alignment horizontal="center"/>
    </xf>
    <xf numFmtId="0" fontId="66" fillId="0" borderId="0" xfId="0" applyFont="1" applyFill="1" applyBorder="1"/>
    <xf numFmtId="0" fontId="66" fillId="0" borderId="0" xfId="0" quotePrefix="1" applyFont="1" applyFill="1" applyBorder="1"/>
    <xf numFmtId="166" fontId="66" fillId="0" borderId="0" xfId="1" quotePrefix="1" applyNumberFormat="1" applyFont="1" applyFill="1" applyBorder="1" applyAlignment="1">
      <alignment horizontal="right"/>
    </xf>
    <xf numFmtId="166" fontId="66" fillId="0" borderId="0" xfId="1" applyNumberFormat="1" applyFont="1" applyFill="1" applyBorder="1" applyAlignment="1">
      <alignment horizontal="right"/>
    </xf>
    <xf numFmtId="166" fontId="67" fillId="0" borderId="0" xfId="1" quotePrefix="1" applyNumberFormat="1" applyFont="1" applyFill="1" applyBorder="1" applyAlignment="1">
      <alignment horizontal="center"/>
    </xf>
    <xf numFmtId="166" fontId="31" fillId="0" borderId="0" xfId="1" quotePrefix="1" applyNumberFormat="1" applyFont="1" applyFill="1" applyBorder="1" applyAlignment="1">
      <alignment horizontal="right"/>
    </xf>
    <xf numFmtId="164" fontId="6" fillId="36" borderId="0" xfId="1" applyFont="1" applyFill="1" applyBorder="1" applyAlignment="1"/>
    <xf numFmtId="164" fontId="6" fillId="0" borderId="0" xfId="1" applyFont="1" applyFill="1" applyBorder="1" applyAlignment="1"/>
    <xf numFmtId="166" fontId="0" fillId="36" borderId="0" xfId="1" applyNumberFormat="1" applyFont="1" applyFill="1"/>
    <xf numFmtId="0" fontId="40" fillId="0" borderId="0" xfId="0" applyFont="1" applyFill="1" applyAlignment="1">
      <alignment horizontal="center"/>
    </xf>
    <xf numFmtId="165" fontId="28" fillId="2" borderId="29" xfId="1" applyNumberFormat="1" applyFont="1" applyFill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66" fontId="3" fillId="0" borderId="0" xfId="8" quotePrefix="1" applyNumberFormat="1" applyFont="1" applyFill="1"/>
    <xf numFmtId="170" fontId="5" fillId="36" borderId="0" xfId="1" quotePrefix="1" applyNumberFormat="1" applyFont="1" applyFill="1"/>
    <xf numFmtId="170" fontId="5" fillId="0" borderId="0" xfId="1" applyNumberFormat="1" applyFont="1" applyFill="1"/>
    <xf numFmtId="0" fontId="40" fillId="0" borderId="0" xfId="0" applyFont="1" applyFill="1" applyAlignment="1">
      <alignment horizontal="center"/>
    </xf>
    <xf numFmtId="170" fontId="10" fillId="0" borderId="0" xfId="0" applyNumberFormat="1" applyFont="1" applyBorder="1" applyAlignment="1"/>
    <xf numFmtId="49" fontId="57" fillId="0" borderId="0" xfId="0" quotePrefix="1" applyNumberFormat="1" applyFont="1" applyBorder="1"/>
    <xf numFmtId="49" fontId="40" fillId="0" borderId="0" xfId="0" quotePrefix="1" applyNumberFormat="1" applyFont="1" applyBorder="1"/>
    <xf numFmtId="0" fontId="58" fillId="0" borderId="0" xfId="0" quotePrefix="1" applyFont="1" applyBorder="1" applyAlignment="1">
      <alignment horizontal="left"/>
    </xf>
    <xf numFmtId="0" fontId="59" fillId="0" borderId="0" xfId="0" quotePrefix="1" applyFont="1" applyFill="1" applyBorder="1" applyAlignment="1">
      <alignment horizontal="left"/>
    </xf>
    <xf numFmtId="170" fontId="10" fillId="5" borderId="0" xfId="1" applyNumberFormat="1" applyFont="1" applyFill="1" applyBorder="1" applyAlignment="1"/>
    <xf numFmtId="1" fontId="39" fillId="0" borderId="0" xfId="1" applyNumberFormat="1" applyFont="1" applyAlignment="1">
      <alignment horizontal="center"/>
    </xf>
    <xf numFmtId="1" fontId="0" fillId="0" borderId="0" xfId="0" applyNumberFormat="1"/>
    <xf numFmtId="1" fontId="39" fillId="0" borderId="0" xfId="0" applyNumberFormat="1" applyFont="1" applyAlignment="1">
      <alignment horizontal="center"/>
    </xf>
    <xf numFmtId="170" fontId="3" fillId="0" borderId="0" xfId="1" applyNumberFormat="1" applyFont="1"/>
    <xf numFmtId="170" fontId="0" fillId="0" borderId="0" xfId="1" applyNumberFormat="1" applyFont="1"/>
    <xf numFmtId="164" fontId="39" fillId="0" borderId="0" xfId="1" applyNumberFormat="1" applyFont="1" applyBorder="1"/>
    <xf numFmtId="170" fontId="39" fillId="0" borderId="0" xfId="1" applyNumberFormat="1" applyFont="1" applyBorder="1"/>
    <xf numFmtId="164" fontId="0" fillId="0" borderId="0" xfId="1" applyNumberFormat="1" applyFont="1"/>
    <xf numFmtId="43" fontId="3" fillId="0" borderId="0" xfId="1" applyNumberFormat="1" applyFont="1" applyFill="1"/>
    <xf numFmtId="166" fontId="56" fillId="0" borderId="2" xfId="1" quotePrefix="1" applyNumberFormat="1" applyFont="1" applyFill="1" applyBorder="1" applyAlignment="1">
      <alignment horizontal="right"/>
    </xf>
    <xf numFmtId="164" fontId="0" fillId="0" borderId="0" xfId="1" quotePrefix="1" applyFont="1"/>
    <xf numFmtId="165" fontId="5" fillId="5" borderId="0" xfId="1" applyNumberFormat="1" applyFont="1" applyFill="1" applyAlignment="1"/>
    <xf numFmtId="4" fontId="0" fillId="0" borderId="0" xfId="0" applyNumberFormat="1"/>
    <xf numFmtId="49" fontId="39" fillId="0" borderId="0" xfId="0" applyNumberFormat="1" applyFont="1" applyAlignment="1">
      <alignment horizontal="right"/>
    </xf>
    <xf numFmtId="9" fontId="0" fillId="0" borderId="0" xfId="9" applyFont="1"/>
    <xf numFmtId="49" fontId="53" fillId="0" borderId="0" xfId="0" quotePrefix="1" applyNumberFormat="1" applyFont="1" applyBorder="1"/>
    <xf numFmtId="0" fontId="40" fillId="0" borderId="0" xfId="0" quotePrefix="1" applyFont="1" applyBorder="1" applyAlignment="1">
      <alignment horizontal="left"/>
    </xf>
    <xf numFmtId="49" fontId="61" fillId="0" borderId="0" xfId="0" quotePrefix="1" applyNumberFormat="1" applyFont="1" applyBorder="1"/>
    <xf numFmtId="49" fontId="40" fillId="0" borderId="0" xfId="1" quotePrefix="1" applyNumberFormat="1" applyFont="1" applyFill="1" applyBorder="1" applyAlignment="1">
      <alignment horizontal="left"/>
    </xf>
    <xf numFmtId="165" fontId="3" fillId="5" borderId="0" xfId="1" applyNumberFormat="1" applyFont="1" applyFill="1" applyBorder="1" applyAlignment="1"/>
    <xf numFmtId="49" fontId="40" fillId="0" borderId="0" xfId="1" quotePrefix="1" applyNumberFormat="1" applyFont="1" applyFill="1" applyBorder="1" applyAlignment="1">
      <alignment horizontal="right"/>
    </xf>
    <xf numFmtId="49" fontId="40" fillId="0" borderId="0" xfId="1" applyNumberFormat="1" applyFont="1" applyFill="1" applyBorder="1" applyAlignment="1">
      <alignment horizontal="right"/>
    </xf>
    <xf numFmtId="165" fontId="32" fillId="2" borderId="11" xfId="1" quotePrefix="1" applyNumberFormat="1" applyFont="1" applyFill="1" applyBorder="1" applyAlignment="1">
      <alignment horizontal="center"/>
    </xf>
    <xf numFmtId="165" fontId="32" fillId="2" borderId="12" xfId="1" applyNumberFormat="1" applyFont="1" applyFill="1" applyBorder="1" applyAlignment="1">
      <alignment horizontal="center"/>
    </xf>
    <xf numFmtId="165" fontId="32" fillId="2" borderId="27" xfId="1" applyNumberFormat="1" applyFont="1" applyFill="1" applyBorder="1" applyAlignment="1">
      <alignment horizontal="center"/>
    </xf>
    <xf numFmtId="165" fontId="4" fillId="0" borderId="0" xfId="1" quotePrefix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32" fillId="2" borderId="17" xfId="1" quotePrefix="1" applyNumberFormat="1" applyFont="1" applyFill="1" applyBorder="1" applyAlignment="1">
      <alignment horizontal="center"/>
    </xf>
    <xf numFmtId="165" fontId="32" fillId="2" borderId="18" xfId="1" applyNumberFormat="1" applyFont="1" applyFill="1" applyBorder="1" applyAlignment="1">
      <alignment horizontal="center"/>
    </xf>
    <xf numFmtId="165" fontId="32" fillId="2" borderId="29" xfId="1" applyNumberFormat="1" applyFont="1" applyFill="1" applyBorder="1" applyAlignment="1">
      <alignment horizontal="center"/>
    </xf>
    <xf numFmtId="165" fontId="32" fillId="2" borderId="33" xfId="1" applyNumberFormat="1" applyFont="1" applyFill="1" applyBorder="1" applyAlignment="1">
      <alignment horizontal="center"/>
    </xf>
    <xf numFmtId="166" fontId="32" fillId="2" borderId="17" xfId="1" applyNumberFormat="1" applyFont="1" applyFill="1" applyBorder="1" applyAlignment="1">
      <alignment horizontal="center"/>
    </xf>
    <xf numFmtId="166" fontId="32" fillId="2" borderId="18" xfId="1" applyNumberFormat="1" applyFont="1" applyFill="1" applyBorder="1" applyAlignment="1">
      <alignment horizontal="center"/>
    </xf>
    <xf numFmtId="166" fontId="32" fillId="2" borderId="29" xfId="1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165" fontId="28" fillId="2" borderId="17" xfId="1" quotePrefix="1" applyNumberFormat="1" applyFont="1" applyFill="1" applyBorder="1" applyAlignment="1">
      <alignment horizontal="center"/>
    </xf>
    <xf numFmtId="165" fontId="28" fillId="2" borderId="18" xfId="1" applyNumberFormat="1" applyFont="1" applyFill="1" applyBorder="1" applyAlignment="1">
      <alignment horizontal="center"/>
    </xf>
    <xf numFmtId="165" fontId="28" fillId="2" borderId="29" xfId="1" applyNumberFormat="1" applyFont="1" applyFill="1" applyBorder="1" applyAlignment="1">
      <alignment horizontal="center"/>
    </xf>
    <xf numFmtId="165" fontId="4" fillId="0" borderId="0" xfId="1" quotePrefix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7" fillId="0" borderId="22" xfId="1" quotePrefix="1" applyNumberFormat="1" applyFont="1" applyBorder="1" applyAlignment="1">
      <alignment horizontal="center"/>
    </xf>
    <xf numFmtId="165" fontId="7" fillId="0" borderId="22" xfId="1" applyNumberFormat="1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4" fillId="0" borderId="12" xfId="0" applyFont="1" applyBorder="1" applyAlignment="1">
      <alignment horizontal="center"/>
    </xf>
    <xf numFmtId="0" fontId="44" fillId="0" borderId="27" xfId="0" applyFont="1" applyBorder="1" applyAlignment="1">
      <alignment horizontal="center"/>
    </xf>
    <xf numFmtId="0" fontId="40" fillId="0" borderId="38" xfId="0" applyFont="1" applyBorder="1" applyAlignment="1">
      <alignment horizontal="center"/>
    </xf>
    <xf numFmtId="0" fontId="40" fillId="0" borderId="51" xfId="0" applyFont="1" applyBorder="1" applyAlignment="1">
      <alignment horizontal="center"/>
    </xf>
    <xf numFmtId="0" fontId="40" fillId="12" borderId="17" xfId="0" applyFont="1" applyFill="1" applyBorder="1" applyAlignment="1">
      <alignment horizontal="center"/>
    </xf>
    <xf numFmtId="0" fontId="40" fillId="12" borderId="18" xfId="0" applyFont="1" applyFill="1" applyBorder="1" applyAlignment="1">
      <alignment horizontal="center"/>
    </xf>
    <xf numFmtId="0" fontId="40" fillId="12" borderId="29" xfId="0" applyFont="1" applyFill="1" applyBorder="1" applyAlignment="1">
      <alignment horizontal="center"/>
    </xf>
  </cellXfs>
  <cellStyles count="10">
    <cellStyle name="Comma" xfId="1" builtinId="3"/>
    <cellStyle name="Comma 2" xfId="3"/>
    <cellStyle name="Comma 3" xfId="6"/>
    <cellStyle name="Normal" xfId="0" builtinId="0"/>
    <cellStyle name="Normal 2" xfId="2"/>
    <cellStyle name="Normal 3" xfId="4"/>
    <cellStyle name="Normal 4" xfId="5"/>
    <cellStyle name="Normal 4 2" xfId="8"/>
    <cellStyle name="Normal_BurdenReconciliation_draft" xfId="7"/>
    <cellStyle name="Percent" xfId="9" builtinId="5"/>
  </cellStyles>
  <dxfs count="0"/>
  <tableStyles count="0" defaultTableStyle="TableStyleMedium9" defaultPivotStyle="PivotStyleLight16"/>
  <colors>
    <mruColors>
      <color rgb="FFFFFF99"/>
      <color rgb="FFFFCCFF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zoomScale="90" zoomScaleNormal="90" workbookViewId="0"/>
  </sheetViews>
  <sheetFormatPr defaultColWidth="9.109375" defaultRowHeight="13.8" x14ac:dyDescent="0.3"/>
  <cols>
    <col min="1" max="1" width="44.5546875" style="1155" bestFit="1" customWidth="1"/>
    <col min="2" max="2" width="16.44140625" style="1155" customWidth="1"/>
    <col min="3" max="4" width="12.44140625" style="1157" customWidth="1"/>
    <col min="5" max="17" width="12.44140625" style="1155" customWidth="1"/>
    <col min="18" max="16384" width="9.109375" style="1155"/>
  </cols>
  <sheetData>
    <row r="1" spans="1:15" x14ac:dyDescent="0.3">
      <c r="A1" s="133"/>
      <c r="B1" s="133"/>
      <c r="C1" s="1153" t="s">
        <v>501</v>
      </c>
      <c r="D1" s="396" t="s">
        <v>72</v>
      </c>
      <c r="E1" s="396"/>
      <c r="F1" s="1154"/>
      <c r="G1" s="396" t="s">
        <v>314</v>
      </c>
    </row>
    <row r="2" spans="1:15" x14ac:dyDescent="0.3">
      <c r="A2" s="133"/>
      <c r="B2" s="133"/>
      <c r="C2" s="401" t="s">
        <v>236</v>
      </c>
      <c r="D2" s="401" t="s">
        <v>63</v>
      </c>
      <c r="E2" s="401" t="s">
        <v>237</v>
      </c>
      <c r="F2" s="401" t="s">
        <v>238</v>
      </c>
      <c r="G2" s="401" t="s">
        <v>68</v>
      </c>
      <c r="H2" s="401" t="s">
        <v>239</v>
      </c>
      <c r="I2" s="401" t="s">
        <v>240</v>
      </c>
      <c r="J2" s="401" t="s">
        <v>241</v>
      </c>
      <c r="K2" s="401" t="s">
        <v>242</v>
      </c>
      <c r="L2" s="401" t="s">
        <v>243</v>
      </c>
      <c r="M2" s="401" t="s">
        <v>244</v>
      </c>
      <c r="N2" s="401" t="s">
        <v>245</v>
      </c>
      <c r="O2" s="1154" t="s">
        <v>261</v>
      </c>
    </row>
    <row r="3" spans="1:15" x14ac:dyDescent="0.3">
      <c r="A3" s="396" t="s">
        <v>384</v>
      </c>
      <c r="B3" s="396" t="s">
        <v>2</v>
      </c>
      <c r="C3" s="1156">
        <v>0</v>
      </c>
      <c r="D3" s="1156">
        <v>0</v>
      </c>
      <c r="E3" s="1156">
        <v>0</v>
      </c>
      <c r="F3" s="1156">
        <v>0</v>
      </c>
      <c r="G3" s="1156">
        <v>0</v>
      </c>
      <c r="H3" s="1156">
        <v>0</v>
      </c>
      <c r="I3" s="1156">
        <v>0</v>
      </c>
      <c r="J3" s="1156">
        <v>0</v>
      </c>
      <c r="K3" s="1156">
        <v>0</v>
      </c>
      <c r="L3" s="1156">
        <v>0</v>
      </c>
      <c r="M3" s="1156">
        <v>0</v>
      </c>
      <c r="N3" s="1156">
        <v>0</v>
      </c>
      <c r="O3" s="1156">
        <v>0</v>
      </c>
    </row>
    <row r="4" spans="1:15" x14ac:dyDescent="0.3">
      <c r="B4" s="401" t="s">
        <v>3</v>
      </c>
      <c r="C4" s="1156">
        <v>0</v>
      </c>
      <c r="D4" s="1156">
        <v>0</v>
      </c>
      <c r="E4" s="1156">
        <v>0</v>
      </c>
      <c r="F4" s="1156">
        <v>0</v>
      </c>
      <c r="G4" s="1156">
        <v>0</v>
      </c>
      <c r="H4" s="1156">
        <v>0</v>
      </c>
      <c r="I4" s="1156">
        <v>0</v>
      </c>
      <c r="J4" s="1156">
        <v>0</v>
      </c>
      <c r="K4" s="1156">
        <v>0</v>
      </c>
      <c r="L4" s="1156">
        <v>0</v>
      </c>
      <c r="M4" s="1156">
        <v>0</v>
      </c>
      <c r="N4" s="1156">
        <v>0</v>
      </c>
      <c r="O4" s="1156">
        <v>0</v>
      </c>
    </row>
    <row r="5" spans="1:15" x14ac:dyDescent="0.3">
      <c r="B5" s="401" t="s">
        <v>49</v>
      </c>
      <c r="C5" s="1156">
        <v>0</v>
      </c>
      <c r="D5" s="1156">
        <v>0</v>
      </c>
      <c r="E5" s="1156">
        <v>0</v>
      </c>
      <c r="F5" s="1156">
        <v>0</v>
      </c>
      <c r="G5" s="1156">
        <v>0</v>
      </c>
      <c r="H5" s="1156">
        <v>0</v>
      </c>
      <c r="I5" s="1156">
        <v>0</v>
      </c>
      <c r="J5" s="1156">
        <v>0</v>
      </c>
      <c r="K5" s="1156">
        <v>0</v>
      </c>
      <c r="L5" s="1156">
        <v>0</v>
      </c>
      <c r="M5" s="1156">
        <v>0</v>
      </c>
      <c r="N5" s="1156">
        <v>0</v>
      </c>
      <c r="O5" s="1156">
        <v>0</v>
      </c>
    </row>
    <row r="6" spans="1:15" x14ac:dyDescent="0.3">
      <c r="A6" s="401" t="s">
        <v>385</v>
      </c>
      <c r="B6" s="396" t="s">
        <v>2</v>
      </c>
      <c r="C6" s="1156">
        <v>0</v>
      </c>
      <c r="D6" s="1156">
        <v>0</v>
      </c>
      <c r="E6" s="1156">
        <v>0</v>
      </c>
      <c r="F6" s="1156">
        <v>0</v>
      </c>
      <c r="G6" s="1156">
        <v>0</v>
      </c>
      <c r="H6" s="1156">
        <v>0</v>
      </c>
      <c r="I6" s="1156">
        <v>0</v>
      </c>
      <c r="J6" s="1156">
        <v>0</v>
      </c>
      <c r="K6" s="1156">
        <v>0</v>
      </c>
      <c r="L6" s="1156">
        <v>0</v>
      </c>
      <c r="M6" s="1156">
        <v>0</v>
      </c>
      <c r="N6" s="1156">
        <v>0</v>
      </c>
      <c r="O6" s="1156">
        <v>0</v>
      </c>
    </row>
    <row r="7" spans="1:15" x14ac:dyDescent="0.3">
      <c r="A7" s="133"/>
      <c r="B7" s="401" t="s">
        <v>3</v>
      </c>
      <c r="C7" s="1156">
        <v>0</v>
      </c>
      <c r="D7" s="1156">
        <v>0</v>
      </c>
      <c r="E7" s="1156">
        <v>0</v>
      </c>
      <c r="F7" s="1156">
        <v>0</v>
      </c>
      <c r="G7" s="1156">
        <v>0</v>
      </c>
      <c r="H7" s="1156">
        <v>0</v>
      </c>
      <c r="I7" s="1156">
        <v>0</v>
      </c>
      <c r="J7" s="1156">
        <v>0</v>
      </c>
      <c r="K7" s="1156">
        <v>0</v>
      </c>
      <c r="L7" s="1156">
        <v>0</v>
      </c>
      <c r="M7" s="1156">
        <v>0</v>
      </c>
      <c r="N7" s="1156">
        <v>0</v>
      </c>
      <c r="O7" s="1156">
        <v>0</v>
      </c>
    </row>
    <row r="8" spans="1:15" x14ac:dyDescent="0.3">
      <c r="A8" s="1154"/>
      <c r="B8" s="1154" t="s">
        <v>49</v>
      </c>
      <c r="C8" s="1156">
        <v>0</v>
      </c>
      <c r="D8" s="1156">
        <v>0</v>
      </c>
      <c r="E8" s="1156">
        <v>0</v>
      </c>
      <c r="F8" s="1156">
        <v>0</v>
      </c>
      <c r="G8" s="1156">
        <v>0</v>
      </c>
      <c r="H8" s="1156">
        <v>0</v>
      </c>
      <c r="I8" s="1156">
        <v>0</v>
      </c>
      <c r="J8" s="1156">
        <v>0</v>
      </c>
      <c r="K8" s="1156">
        <v>0</v>
      </c>
      <c r="L8" s="1156">
        <v>0</v>
      </c>
      <c r="M8" s="1156">
        <v>0</v>
      </c>
      <c r="N8" s="1156">
        <v>0</v>
      </c>
      <c r="O8" s="1156">
        <v>0</v>
      </c>
    </row>
    <row r="9" spans="1:15" x14ac:dyDescent="0.3">
      <c r="C9" s="641"/>
      <c r="E9" s="1154"/>
    </row>
    <row r="10" spans="1:15" x14ac:dyDescent="0.3">
      <c r="C10" s="641"/>
      <c r="E10" s="401"/>
      <c r="F10" s="396"/>
      <c r="G10" s="396"/>
      <c r="I10" s="396"/>
    </row>
    <row r="11" spans="1:15" x14ac:dyDescent="0.3">
      <c r="A11" s="133"/>
      <c r="B11" s="133"/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  <c r="O11" s="1154"/>
    </row>
    <row r="12" spans="1:15" x14ac:dyDescent="0.3">
      <c r="A12" s="396"/>
      <c r="B12" s="396"/>
      <c r="C12" s="1158"/>
      <c r="D12" s="1158"/>
      <c r="E12" s="1158"/>
      <c r="F12" s="1158"/>
      <c r="G12" s="1158"/>
      <c r="H12" s="1158"/>
      <c r="I12" s="1158"/>
      <c r="J12" s="1158"/>
      <c r="K12" s="1158"/>
      <c r="L12" s="1158"/>
      <c r="M12" s="1158"/>
      <c r="N12" s="1158"/>
    </row>
    <row r="13" spans="1:15" x14ac:dyDescent="0.3">
      <c r="B13" s="401"/>
      <c r="C13" s="1158"/>
      <c r="D13" s="1158"/>
      <c r="E13" s="1158"/>
      <c r="F13" s="1158"/>
      <c r="G13" s="1158"/>
      <c r="H13" s="1158"/>
      <c r="I13" s="1158"/>
      <c r="J13" s="1158"/>
      <c r="K13" s="1158"/>
      <c r="L13" s="1158"/>
      <c r="M13" s="1158"/>
      <c r="N13" s="1158"/>
    </row>
    <row r="14" spans="1:15" x14ac:dyDescent="0.3">
      <c r="A14" s="401"/>
      <c r="B14" s="396"/>
      <c r="C14" s="1158"/>
      <c r="D14" s="1159"/>
      <c r="E14" s="1158"/>
      <c r="F14" s="1159"/>
      <c r="G14" s="1158"/>
      <c r="H14" s="1159"/>
      <c r="I14" s="1158"/>
      <c r="J14" s="1159"/>
      <c r="K14" s="1158"/>
      <c r="L14" s="1159"/>
      <c r="M14" s="1158"/>
      <c r="N14" s="1159"/>
    </row>
    <row r="15" spans="1:15" x14ac:dyDescent="0.3">
      <c r="A15" s="133"/>
      <c r="B15" s="401"/>
      <c r="C15" s="1159"/>
      <c r="D15" s="1159"/>
      <c r="E15" s="1159"/>
      <c r="F15" s="1159"/>
      <c r="G15" s="1159"/>
      <c r="H15" s="1159"/>
      <c r="I15" s="1159"/>
      <c r="J15" s="1159"/>
      <c r="K15" s="1159"/>
      <c r="L15" s="1159"/>
      <c r="M15" s="1159"/>
      <c r="N15" s="1159"/>
    </row>
    <row r="16" spans="1:15" x14ac:dyDescent="0.3">
      <c r="A16" s="1154"/>
      <c r="B16" s="1154"/>
      <c r="C16" s="641"/>
      <c r="E16" s="1154"/>
      <c r="F16" s="1154"/>
    </row>
    <row r="17" spans="1:17" x14ac:dyDescent="0.3"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</row>
    <row r="18" spans="1:17" hidden="1" x14ac:dyDescent="0.3">
      <c r="C18" s="641"/>
      <c r="E18" s="1154"/>
    </row>
    <row r="19" spans="1:17" hidden="1" x14ac:dyDescent="0.3">
      <c r="C19" s="641"/>
      <c r="E19" s="1154"/>
    </row>
    <row r="20" spans="1:17" ht="28.8" hidden="1" x14ac:dyDescent="0.3">
      <c r="A20" s="923" t="s">
        <v>288</v>
      </c>
      <c r="B20" s="924" t="s">
        <v>289</v>
      </c>
      <c r="C20" s="924" t="s">
        <v>290</v>
      </c>
      <c r="D20" s="924" t="s">
        <v>442</v>
      </c>
      <c r="E20" s="925" t="s">
        <v>443</v>
      </c>
      <c r="F20" s="924" t="s">
        <v>459</v>
      </c>
      <c r="G20" s="925" t="s">
        <v>460</v>
      </c>
      <c r="H20" s="365"/>
      <c r="I20" s="365"/>
      <c r="J20" s="365"/>
      <c r="K20" s="365"/>
      <c r="L20" s="365"/>
      <c r="M20" s="365"/>
      <c r="N20"/>
      <c r="O20" s="51"/>
      <c r="P20"/>
      <c r="Q20"/>
    </row>
    <row r="21" spans="1:17" hidden="1" x14ac:dyDescent="0.3">
      <c r="A21" s="926" t="s">
        <v>291</v>
      </c>
      <c r="B21" s="1160">
        <v>51726154.000000015</v>
      </c>
      <c r="C21" s="927">
        <v>13</v>
      </c>
      <c r="D21" s="1161">
        <v>3979000</v>
      </c>
      <c r="E21" s="1162">
        <f>B21-D21</f>
        <v>47747154.000000015</v>
      </c>
      <c r="F21" s="1163">
        <f>E21/13</f>
        <v>3672858.0000000009</v>
      </c>
      <c r="G21" s="1162">
        <f>E21-F21</f>
        <v>44074296.000000015</v>
      </c>
      <c r="H21" s="365"/>
      <c r="J21" s="365"/>
      <c r="K21" s="365"/>
      <c r="L21" s="365"/>
      <c r="M21" s="365"/>
      <c r="N21"/>
      <c r="O21" s="1164"/>
      <c r="P21"/>
      <c r="Q21"/>
    </row>
    <row r="22" spans="1:17" hidden="1" x14ac:dyDescent="0.3">
      <c r="A22" s="926" t="s">
        <v>292</v>
      </c>
      <c r="B22" s="1160">
        <v>3788846.0000000005</v>
      </c>
      <c r="C22" s="927">
        <v>14.7</v>
      </c>
      <c r="D22" s="1161">
        <v>271000</v>
      </c>
      <c r="E22" s="1162">
        <f>B22-D22</f>
        <v>3517846.0000000005</v>
      </c>
      <c r="F22" s="1163">
        <f>E22/14.7</f>
        <v>239309.25170068032</v>
      </c>
      <c r="G22" s="1162">
        <f t="shared" ref="G22:G27" si="0">E22-F22</f>
        <v>3278536.7482993202</v>
      </c>
      <c r="H22" s="365"/>
      <c r="J22" s="365"/>
      <c r="K22" s="365"/>
      <c r="L22" s="365"/>
      <c r="M22" s="365"/>
      <c r="N22"/>
      <c r="O22" s="51"/>
      <c r="P22"/>
      <c r="Q22"/>
    </row>
    <row r="23" spans="1:17" hidden="1" x14ac:dyDescent="0.3">
      <c r="A23" s="926" t="s">
        <v>293</v>
      </c>
      <c r="B23" s="1160">
        <v>0</v>
      </c>
      <c r="C23" s="927">
        <v>0</v>
      </c>
      <c r="D23" s="1165">
        <v>0</v>
      </c>
      <c r="E23" s="1166">
        <f>B23-D23</f>
        <v>0</v>
      </c>
      <c r="F23" s="1167">
        <f>E23/13</f>
        <v>0</v>
      </c>
      <c r="G23" s="1166">
        <f t="shared" si="0"/>
        <v>0</v>
      </c>
      <c r="H23" s="365"/>
      <c r="I23" s="365"/>
      <c r="J23" s="365"/>
      <c r="K23" s="365"/>
      <c r="L23" s="365"/>
      <c r="M23" s="365"/>
      <c r="N23"/>
      <c r="O23"/>
      <c r="P23"/>
      <c r="Q23"/>
    </row>
    <row r="24" spans="1:17" hidden="1" x14ac:dyDescent="0.3">
      <c r="A24" s="926" t="s">
        <v>294</v>
      </c>
      <c r="B24" s="1160">
        <v>0</v>
      </c>
      <c r="C24" s="927">
        <v>0</v>
      </c>
      <c r="D24" s="1165">
        <v>0</v>
      </c>
      <c r="E24" s="1166">
        <f>B24-D24</f>
        <v>0</v>
      </c>
      <c r="F24" s="1167">
        <f>E24/13</f>
        <v>0</v>
      </c>
      <c r="G24" s="1166">
        <f t="shared" si="0"/>
        <v>0</v>
      </c>
      <c r="H24" s="365"/>
      <c r="I24" s="365"/>
      <c r="J24" s="365"/>
      <c r="K24" s="365"/>
      <c r="L24" s="365"/>
      <c r="M24" s="365"/>
      <c r="N24"/>
      <c r="O24" s="51"/>
      <c r="P24"/>
      <c r="Q24"/>
    </row>
    <row r="25" spans="1:17" hidden="1" x14ac:dyDescent="0.3">
      <c r="A25" s="926" t="s">
        <v>295</v>
      </c>
      <c r="B25" s="1160">
        <f>SUM(B21:B24)</f>
        <v>55515000.000000015</v>
      </c>
      <c r="C25" s="928"/>
      <c r="D25" s="1165">
        <f>SUM(D21:D24)</f>
        <v>4250000</v>
      </c>
      <c r="E25" s="1166">
        <f>B25-D25</f>
        <v>51265000.000000015</v>
      </c>
      <c r="F25" s="1167">
        <f>SUM(F21:F24)</f>
        <v>3912167.2517006812</v>
      </c>
      <c r="G25" s="1166">
        <f t="shared" si="0"/>
        <v>47352832.74829933</v>
      </c>
      <c r="H25" s="365"/>
      <c r="I25" s="365"/>
      <c r="J25" s="365"/>
      <c r="K25" s="365"/>
      <c r="L25" s="365"/>
      <c r="M25" s="365"/>
      <c r="N25"/>
      <c r="O25"/>
      <c r="P25"/>
      <c r="Q25"/>
    </row>
    <row r="26" spans="1:17" ht="14.4" hidden="1" x14ac:dyDescent="0.3">
      <c r="A26" s="929" t="s">
        <v>296</v>
      </c>
      <c r="B26" s="1168"/>
      <c r="C26" s="930"/>
      <c r="D26" s="1169"/>
      <c r="E26" s="1170"/>
      <c r="F26" s="1171"/>
      <c r="G26" s="1170">
        <f t="shared" si="0"/>
        <v>0</v>
      </c>
      <c r="H26" s="365"/>
      <c r="I26" s="365"/>
      <c r="J26" s="365"/>
      <c r="K26" s="365"/>
      <c r="L26" s="365"/>
      <c r="M26" s="365"/>
      <c r="N26"/>
      <c r="O26" s="51"/>
      <c r="P26"/>
      <c r="Q26"/>
    </row>
    <row r="27" spans="1:17" ht="14.4" hidden="1" x14ac:dyDescent="0.3">
      <c r="A27" s="931" t="s">
        <v>297</v>
      </c>
      <c r="B27" s="1172">
        <f>SUM(B25)</f>
        <v>55515000.000000015</v>
      </c>
      <c r="C27" s="1173">
        <f>SUM(C25)</f>
        <v>0</v>
      </c>
      <c r="D27" s="1173">
        <f>SUM(D25)</f>
        <v>4250000</v>
      </c>
      <c r="E27" s="1174">
        <f>SUM(E25)</f>
        <v>51265000.000000015</v>
      </c>
      <c r="F27" s="1175">
        <f>SUM(F25)</f>
        <v>3912167.2517006812</v>
      </c>
      <c r="G27" s="1174">
        <f t="shared" si="0"/>
        <v>47352832.74829933</v>
      </c>
      <c r="H27" s="365"/>
      <c r="I27" s="365"/>
      <c r="J27" s="365"/>
      <c r="K27" s="365"/>
      <c r="L27" s="365"/>
      <c r="M27" s="365"/>
      <c r="N27"/>
      <c r="O27" s="51"/>
      <c r="P27"/>
      <c r="Q27"/>
    </row>
    <row r="28" spans="1:17" hidden="1" x14ac:dyDescent="0.3">
      <c r="A28" s="926"/>
      <c r="B28" s="928"/>
      <c r="C28" s="928"/>
      <c r="D28" s="928"/>
      <c r="E28" s="932"/>
      <c r="F28" s="985"/>
      <c r="G28" s="932"/>
      <c r="H28" s="365"/>
      <c r="I28" s="365"/>
      <c r="J28" s="365"/>
      <c r="K28" s="365"/>
      <c r="L28" s="365"/>
      <c r="M28" s="365"/>
      <c r="N28"/>
      <c r="O28" s="51"/>
      <c r="P28"/>
      <c r="Q28"/>
    </row>
    <row r="29" spans="1:17" ht="14.4" hidden="1" thickBot="1" x14ac:dyDescent="0.35">
      <c r="A29" s="933" t="s">
        <v>298</v>
      </c>
      <c r="B29" s="934"/>
      <c r="C29" s="934"/>
      <c r="D29" s="934"/>
      <c r="E29" s="935"/>
      <c r="F29" s="986"/>
      <c r="G29" s="935"/>
      <c r="H29" s="365"/>
      <c r="I29" s="365"/>
      <c r="J29" s="365"/>
      <c r="K29" s="365"/>
      <c r="L29" s="365"/>
      <c r="M29" s="365"/>
      <c r="N29"/>
      <c r="O29"/>
      <c r="P29"/>
      <c r="Q29"/>
    </row>
    <row r="30" spans="1:17" hidden="1" x14ac:dyDescent="0.3">
      <c r="A30" s="365"/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/>
      <c r="O30"/>
      <c r="P30"/>
      <c r="Q30"/>
    </row>
    <row r="31" spans="1:17" ht="15.6" x14ac:dyDescent="0.3">
      <c r="A31" s="1176" t="s">
        <v>483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/>
      <c r="O31"/>
      <c r="P31"/>
      <c r="Q31"/>
    </row>
    <row r="32" spans="1:17" x14ac:dyDescent="0.3"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/>
      <c r="O32"/>
      <c r="P32"/>
      <c r="Q32"/>
    </row>
    <row r="33" spans="1:17" ht="14.4" thickBot="1" x14ac:dyDescent="0.35">
      <c r="A33" s="365"/>
      <c r="B33" s="365"/>
      <c r="C33" s="365"/>
      <c r="D33" s="365"/>
      <c r="E33" s="365"/>
      <c r="F33" s="365"/>
      <c r="G33" s="365"/>
      <c r="H33" s="365"/>
      <c r="I33" s="365"/>
      <c r="J33" s="365"/>
      <c r="K33" s="365"/>
      <c r="L33" s="365"/>
      <c r="M33" s="365"/>
      <c r="N33"/>
      <c r="O33"/>
      <c r="P33"/>
      <c r="Q33"/>
    </row>
    <row r="34" spans="1:17" ht="29.4" thickBot="1" x14ac:dyDescent="0.35">
      <c r="A34" s="1089" t="s">
        <v>288</v>
      </c>
      <c r="B34" s="1092" t="s">
        <v>474</v>
      </c>
      <c r="C34" s="1092" t="s">
        <v>443</v>
      </c>
      <c r="D34" s="1177" t="s">
        <v>484</v>
      </c>
      <c r="E34" s="1090" t="s">
        <v>460</v>
      </c>
      <c r="F34" s="1090" t="s">
        <v>485</v>
      </c>
      <c r="G34" s="1090" t="s">
        <v>486</v>
      </c>
      <c r="H34" s="1090" t="s">
        <v>487</v>
      </c>
      <c r="I34" s="1090" t="s">
        <v>488</v>
      </c>
      <c r="J34" s="1090" t="s">
        <v>489</v>
      </c>
      <c r="K34" s="1090" t="s">
        <v>490</v>
      </c>
      <c r="L34" s="1090" t="s">
        <v>491</v>
      </c>
      <c r="M34" s="1090" t="s">
        <v>492</v>
      </c>
      <c r="N34" s="1090" t="s">
        <v>493</v>
      </c>
      <c r="O34" s="1090" t="s">
        <v>494</v>
      </c>
      <c r="P34" s="1090" t="s">
        <v>495</v>
      </c>
      <c r="Q34" s="1090" t="s">
        <v>496</v>
      </c>
    </row>
    <row r="35" spans="1:17" x14ac:dyDescent="0.3">
      <c r="A35" s="1091" t="s">
        <v>291</v>
      </c>
      <c r="B35" s="1178">
        <v>13</v>
      </c>
      <c r="C35" s="1179">
        <f>+E21</f>
        <v>47747154.000000015</v>
      </c>
      <c r="D35" s="1180">
        <v>3673000</v>
      </c>
      <c r="E35" s="1181">
        <f>+C35-$D35</f>
        <v>44074154.000000015</v>
      </c>
      <c r="F35" s="1181">
        <f>+E35-$D35</f>
        <v>40401154.000000015</v>
      </c>
      <c r="G35" s="1181">
        <f t="shared" ref="G35:Q36" si="1">+F35-$D35</f>
        <v>36728154.000000015</v>
      </c>
      <c r="H35" s="1181">
        <f t="shared" si="1"/>
        <v>33055154.000000015</v>
      </c>
      <c r="I35" s="1181">
        <f t="shared" si="1"/>
        <v>29382154.000000015</v>
      </c>
      <c r="J35" s="1181">
        <f t="shared" si="1"/>
        <v>25709154.000000015</v>
      </c>
      <c r="K35" s="1181">
        <f t="shared" si="1"/>
        <v>22036154.000000015</v>
      </c>
      <c r="L35" s="1181">
        <f t="shared" si="1"/>
        <v>18363154.000000015</v>
      </c>
      <c r="M35" s="1181">
        <f t="shared" si="1"/>
        <v>14690154.000000015</v>
      </c>
      <c r="N35" s="1181">
        <f t="shared" si="1"/>
        <v>11017154.000000015</v>
      </c>
      <c r="O35" s="1181">
        <f t="shared" si="1"/>
        <v>7344154.0000000149</v>
      </c>
      <c r="P35" s="1181">
        <f t="shared" si="1"/>
        <v>3671154.0000000149</v>
      </c>
      <c r="Q35" s="1181">
        <v>0</v>
      </c>
    </row>
    <row r="36" spans="1:17" x14ac:dyDescent="0.3">
      <c r="A36" s="632" t="s">
        <v>292</v>
      </c>
      <c r="B36" s="1182">
        <v>14.7</v>
      </c>
      <c r="C36" s="1183">
        <f>+E22</f>
        <v>3517846.0000000005</v>
      </c>
      <c r="D36" s="1184">
        <v>239000</v>
      </c>
      <c r="E36" s="1185">
        <f>+C36-$D36</f>
        <v>3278846.0000000005</v>
      </c>
      <c r="F36" s="1185">
        <f>+E36-$D36</f>
        <v>3039846.0000000005</v>
      </c>
      <c r="G36" s="1185">
        <f t="shared" si="1"/>
        <v>2800846.0000000005</v>
      </c>
      <c r="H36" s="1185">
        <f t="shared" si="1"/>
        <v>2561846.0000000005</v>
      </c>
      <c r="I36" s="1185">
        <f t="shared" si="1"/>
        <v>2322846.0000000005</v>
      </c>
      <c r="J36" s="1185">
        <f t="shared" si="1"/>
        <v>2083846.0000000005</v>
      </c>
      <c r="K36" s="1185">
        <f t="shared" si="1"/>
        <v>1844846.0000000005</v>
      </c>
      <c r="L36" s="1185">
        <f t="shared" si="1"/>
        <v>1605846.0000000005</v>
      </c>
      <c r="M36" s="1185">
        <f t="shared" si="1"/>
        <v>1366846.0000000005</v>
      </c>
      <c r="N36" s="1185">
        <f t="shared" si="1"/>
        <v>1127846.0000000005</v>
      </c>
      <c r="O36" s="1185">
        <f t="shared" si="1"/>
        <v>888846.00000000047</v>
      </c>
      <c r="P36" s="1185">
        <f t="shared" si="1"/>
        <v>649846.00000000047</v>
      </c>
      <c r="Q36" s="1185">
        <f t="shared" si="1"/>
        <v>410846.00000000047</v>
      </c>
    </row>
    <row r="37" spans="1:17" ht="14.4" thickBot="1" x14ac:dyDescent="0.35">
      <c r="A37" s="1186"/>
      <c r="B37" s="1187"/>
      <c r="C37" s="1188">
        <f>SUM(C35:C36)</f>
        <v>51265000.000000015</v>
      </c>
      <c r="D37" s="1189">
        <f>SUM(D35:D36)</f>
        <v>3912000</v>
      </c>
      <c r="E37" s="1190">
        <f>SUM(E35:E36)</f>
        <v>47353000.000000015</v>
      </c>
      <c r="F37" s="1190">
        <f>SUM(F35:F36)</f>
        <v>43441000.000000015</v>
      </c>
      <c r="G37" s="1190">
        <f t="shared" ref="G37:Q37" si="2">SUM(G35:G36)</f>
        <v>39529000.000000015</v>
      </c>
      <c r="H37" s="1190">
        <f t="shared" si="2"/>
        <v>35617000.000000015</v>
      </c>
      <c r="I37" s="1190">
        <f t="shared" si="2"/>
        <v>31705000.000000015</v>
      </c>
      <c r="J37" s="1190">
        <f t="shared" si="2"/>
        <v>27793000.000000015</v>
      </c>
      <c r="K37" s="1190">
        <f t="shared" si="2"/>
        <v>23881000.000000015</v>
      </c>
      <c r="L37" s="1190">
        <f t="shared" si="2"/>
        <v>19969000.000000015</v>
      </c>
      <c r="M37" s="1190">
        <f t="shared" si="2"/>
        <v>16057000.000000015</v>
      </c>
      <c r="N37" s="1190">
        <f t="shared" si="2"/>
        <v>12145000.000000015</v>
      </c>
      <c r="O37" s="1190">
        <f t="shared" si="2"/>
        <v>8233000.0000000149</v>
      </c>
      <c r="P37" s="1190">
        <f t="shared" si="2"/>
        <v>4321000.0000000149</v>
      </c>
      <c r="Q37" s="1190">
        <f t="shared" si="2"/>
        <v>410846.00000000047</v>
      </c>
    </row>
    <row r="38" spans="1:17" x14ac:dyDescent="0.3">
      <c r="A38" s="1191"/>
      <c r="B38" s="1191"/>
      <c r="C38" s="1192"/>
      <c r="D38" s="1192"/>
      <c r="E38" s="1191"/>
    </row>
  </sheetData>
  <pageMargins left="0.7" right="0.7" top="0.75" bottom="0.75" header="0.3" footer="0.3"/>
  <pageSetup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N32"/>
  <sheetViews>
    <sheetView zoomScaleNormal="100" workbookViewId="0">
      <selection activeCell="B4" sqref="B4:K13"/>
    </sheetView>
  </sheetViews>
  <sheetFormatPr defaultColWidth="9.109375" defaultRowHeight="13.8" x14ac:dyDescent="0.3"/>
  <cols>
    <col min="1" max="1" width="3" style="108" customWidth="1"/>
    <col min="2" max="2" width="34.6640625" style="108" bestFit="1" customWidth="1"/>
    <col min="3" max="3" width="30.88671875" style="109" bestFit="1" customWidth="1"/>
    <col min="4" max="5" width="12.88671875" style="109" customWidth="1"/>
    <col min="6" max="6" width="2.5546875" style="109" customWidth="1"/>
    <col min="7" max="8" width="12.88671875" style="109" customWidth="1"/>
    <col min="9" max="9" width="2.5546875" style="109" customWidth="1"/>
    <col min="10" max="11" width="12.88671875" style="108" customWidth="1"/>
    <col min="12" max="12" width="23.109375" style="108" bestFit="1" customWidth="1"/>
    <col min="13" max="13" width="12.44140625" style="108" bestFit="1" customWidth="1"/>
    <col min="14" max="16384" width="9.109375" style="108"/>
  </cols>
  <sheetData>
    <row r="1" spans="2:14" s="133" customFormat="1" ht="21" x14ac:dyDescent="0.4">
      <c r="B1" s="1213" t="s">
        <v>99</v>
      </c>
      <c r="C1" s="557"/>
      <c r="D1" s="323"/>
      <c r="E1" s="323"/>
      <c r="F1" s="323"/>
      <c r="G1" s="323"/>
      <c r="H1" s="323"/>
      <c r="I1" s="323"/>
      <c r="J1" s="323"/>
      <c r="K1" s="323"/>
      <c r="L1" s="395"/>
    </row>
    <row r="2" spans="2:14" s="133" customFormat="1" ht="14.4" x14ac:dyDescent="0.3">
      <c r="B2" s="558"/>
      <c r="C2" s="557"/>
      <c r="D2" s="323"/>
      <c r="E2" s="323"/>
      <c r="F2" s="323"/>
      <c r="G2" s="323"/>
      <c r="H2" s="323"/>
      <c r="I2" s="323"/>
      <c r="J2" s="323"/>
      <c r="K2" s="323"/>
      <c r="L2" s="395"/>
    </row>
    <row r="3" spans="2:14" s="133" customFormat="1" ht="14.4" thickBot="1" x14ac:dyDescent="0.35">
      <c r="B3" s="1214" t="s">
        <v>420</v>
      </c>
      <c r="C3" s="557"/>
      <c r="D3" s="323"/>
      <c r="E3" s="323"/>
      <c r="F3" s="323"/>
      <c r="G3" s="323"/>
      <c r="H3" s="323"/>
      <c r="I3" s="323"/>
      <c r="J3" s="323"/>
      <c r="K3" s="323"/>
      <c r="L3" s="395"/>
    </row>
    <row r="4" spans="2:14" s="133" customFormat="1" x14ac:dyDescent="0.3">
      <c r="B4" s="838"/>
      <c r="C4" s="947"/>
      <c r="D4" s="948"/>
      <c r="E4" s="949" t="s">
        <v>72</v>
      </c>
      <c r="F4" s="949"/>
      <c r="G4" s="949"/>
      <c r="H4" s="948"/>
      <c r="I4" s="948"/>
      <c r="J4" s="948"/>
      <c r="K4" s="950"/>
      <c r="L4" s="395"/>
    </row>
    <row r="5" spans="2:14" s="133" customFormat="1" x14ac:dyDescent="0.3">
      <c r="B5" s="843"/>
      <c r="C5" s="951"/>
      <c r="D5" s="845" t="s">
        <v>501</v>
      </c>
      <c r="E5" s="845" t="s">
        <v>501</v>
      </c>
      <c r="F5" s="845"/>
      <c r="G5" s="845" t="s">
        <v>501</v>
      </c>
      <c r="H5" s="845" t="s">
        <v>501</v>
      </c>
      <c r="I5" s="845"/>
      <c r="J5" s="845" t="s">
        <v>501</v>
      </c>
      <c r="K5" s="512" t="s">
        <v>501</v>
      </c>
      <c r="L5" s="395"/>
    </row>
    <row r="6" spans="2:14" s="133" customFormat="1" x14ac:dyDescent="0.3">
      <c r="B6" s="843"/>
      <c r="C6" s="844"/>
      <c r="D6" s="433" t="s">
        <v>239</v>
      </c>
      <c r="E6" s="433" t="s">
        <v>239</v>
      </c>
      <c r="F6" s="432"/>
      <c r="G6" s="433" t="s">
        <v>544</v>
      </c>
      <c r="H6" s="433" t="s">
        <v>544</v>
      </c>
      <c r="I6" s="845"/>
      <c r="J6" s="952" t="s">
        <v>116</v>
      </c>
      <c r="K6" s="953" t="s">
        <v>116</v>
      </c>
      <c r="L6" s="395"/>
    </row>
    <row r="7" spans="2:14" s="133" customFormat="1" x14ac:dyDescent="0.3">
      <c r="B7" s="843"/>
      <c r="C7" s="844"/>
      <c r="D7" s="845" t="s">
        <v>2</v>
      </c>
      <c r="E7" s="845" t="s">
        <v>3</v>
      </c>
      <c r="F7" s="845"/>
      <c r="G7" s="845" t="s">
        <v>2</v>
      </c>
      <c r="H7" s="845" t="s">
        <v>3</v>
      </c>
      <c r="I7" s="845"/>
      <c r="J7" s="845" t="s">
        <v>49</v>
      </c>
      <c r="K7" s="512" t="s">
        <v>3</v>
      </c>
      <c r="L7" s="395"/>
      <c r="M7" s="397"/>
      <c r="N7" s="397"/>
    </row>
    <row r="8" spans="2:14" s="133" customFormat="1" x14ac:dyDescent="0.3">
      <c r="B8" s="954" t="s">
        <v>1</v>
      </c>
      <c r="C8" s="955" t="s">
        <v>157</v>
      </c>
      <c r="D8" s="433">
        <v>0</v>
      </c>
      <c r="E8" s="433" t="s">
        <v>45</v>
      </c>
      <c r="F8" s="433"/>
      <c r="G8" s="433">
        <v>-10581051.93</v>
      </c>
      <c r="H8" s="433" t="s">
        <v>45</v>
      </c>
      <c r="I8" s="433"/>
      <c r="J8" s="433" t="s">
        <v>45</v>
      </c>
      <c r="K8" s="513" t="s">
        <v>45</v>
      </c>
      <c r="L8" s="1215" t="s">
        <v>421</v>
      </c>
      <c r="M8" s="397"/>
      <c r="N8" s="397"/>
    </row>
    <row r="9" spans="2:14" s="321" customFormat="1" x14ac:dyDescent="0.3">
      <c r="B9" s="956" t="s">
        <v>122</v>
      </c>
      <c r="C9" s="957" t="s">
        <v>123</v>
      </c>
      <c r="D9" s="433">
        <v>379051.13999999996</v>
      </c>
      <c r="E9" s="433" t="s">
        <v>45</v>
      </c>
      <c r="F9" s="432"/>
      <c r="G9" s="433">
        <v>9132523.5300000012</v>
      </c>
      <c r="H9" s="433" t="s">
        <v>45</v>
      </c>
      <c r="I9" s="432"/>
      <c r="J9" s="433" t="s">
        <v>45</v>
      </c>
      <c r="K9" s="513" t="s">
        <v>45</v>
      </c>
      <c r="L9" s="1216" t="s">
        <v>422</v>
      </c>
      <c r="M9" s="399"/>
      <c r="N9" s="399"/>
    </row>
    <row r="10" spans="2:14" s="321" customFormat="1" x14ac:dyDescent="0.3">
      <c r="B10" s="956" t="s">
        <v>122</v>
      </c>
      <c r="C10" s="955" t="s">
        <v>130</v>
      </c>
      <c r="D10" s="433">
        <v>7938.21</v>
      </c>
      <c r="E10" s="433" t="s">
        <v>45</v>
      </c>
      <c r="F10" s="432"/>
      <c r="G10" s="1146">
        <v>87614.87000000001</v>
      </c>
      <c r="H10" s="433" t="s">
        <v>45</v>
      </c>
      <c r="I10" s="432"/>
      <c r="J10" s="433" t="s">
        <v>45</v>
      </c>
      <c r="K10" s="513" t="s">
        <v>45</v>
      </c>
      <c r="L10" s="398"/>
      <c r="M10" s="399"/>
      <c r="N10" s="399"/>
    </row>
    <row r="11" spans="2:14" s="321" customFormat="1" x14ac:dyDescent="0.3">
      <c r="B11" s="954" t="s">
        <v>1</v>
      </c>
      <c r="C11" s="955" t="s">
        <v>198</v>
      </c>
      <c r="D11" s="433">
        <v>0</v>
      </c>
      <c r="E11" s="433" t="s">
        <v>45</v>
      </c>
      <c r="F11" s="432"/>
      <c r="G11" s="433">
        <v>1674996.8299999998</v>
      </c>
      <c r="H11" s="433" t="s">
        <v>45</v>
      </c>
      <c r="I11" s="432"/>
      <c r="J11" s="433" t="s">
        <v>45</v>
      </c>
      <c r="K11" s="513" t="s">
        <v>45</v>
      </c>
      <c r="L11" s="398"/>
      <c r="M11" s="399"/>
      <c r="N11" s="399"/>
    </row>
    <row r="12" spans="2:14" s="133" customFormat="1" x14ac:dyDescent="0.3">
      <c r="B12" s="954" t="s">
        <v>1</v>
      </c>
      <c r="C12" s="955" t="s">
        <v>105</v>
      </c>
      <c r="D12" s="433">
        <v>0</v>
      </c>
      <c r="E12" s="433" t="s">
        <v>45</v>
      </c>
      <c r="F12" s="433"/>
      <c r="G12" s="433">
        <v>152582.71</v>
      </c>
      <c r="H12" s="433" t="s">
        <v>45</v>
      </c>
      <c r="I12" s="433"/>
      <c r="J12" s="433" t="s">
        <v>45</v>
      </c>
      <c r="K12" s="513" t="s">
        <v>45</v>
      </c>
      <c r="L12" s="402"/>
    </row>
    <row r="13" spans="2:14" s="445" customFormat="1" ht="14.4" thickBot="1" x14ac:dyDescent="0.35">
      <c r="B13" s="754" t="s">
        <v>1</v>
      </c>
      <c r="C13" s="958" t="s">
        <v>118</v>
      </c>
      <c r="D13" s="959" t="s">
        <v>45</v>
      </c>
      <c r="E13" s="959" t="s">
        <v>45</v>
      </c>
      <c r="F13" s="960"/>
      <c r="G13" s="959" t="s">
        <v>45</v>
      </c>
      <c r="H13" s="959" t="s">
        <v>45</v>
      </c>
      <c r="I13" s="960"/>
      <c r="J13" s="959" t="s">
        <v>45</v>
      </c>
      <c r="K13" s="961" t="s">
        <v>45</v>
      </c>
    </row>
    <row r="14" spans="2:14" s="321" customFormat="1" x14ac:dyDescent="0.3">
      <c r="B14" s="567"/>
      <c r="C14" s="568"/>
      <c r="D14" s="181"/>
      <c r="E14" s="181"/>
      <c r="F14" s="322"/>
      <c r="G14" s="181"/>
      <c r="H14" s="181"/>
      <c r="I14" s="322"/>
      <c r="J14" s="181"/>
      <c r="K14" s="181"/>
      <c r="L14" s="806"/>
      <c r="M14" s="322"/>
      <c r="N14" s="399"/>
    </row>
    <row r="15" spans="2:14" s="321" customFormat="1" x14ac:dyDescent="0.3">
      <c r="B15" s="567"/>
      <c r="C15" s="568"/>
      <c r="D15" s="181"/>
      <c r="E15" s="181"/>
      <c r="F15" s="322"/>
      <c r="G15" s="181"/>
      <c r="H15" s="181"/>
      <c r="I15" s="322"/>
      <c r="J15" s="181"/>
      <c r="K15" s="181"/>
      <c r="L15" s="398"/>
      <c r="M15" s="399"/>
      <c r="N15" s="399"/>
    </row>
    <row r="16" spans="2:14" s="321" customFormat="1" x14ac:dyDescent="0.3">
      <c r="B16" s="567"/>
      <c r="C16" s="568"/>
      <c r="D16" s="181"/>
      <c r="E16" s="181"/>
      <c r="F16" s="322"/>
      <c r="G16" s="181"/>
      <c r="H16" s="181"/>
      <c r="I16" s="322"/>
      <c r="J16" s="181"/>
      <c r="K16" s="181"/>
      <c r="L16" s="398"/>
      <c r="M16" s="399"/>
      <c r="N16" s="399"/>
    </row>
    <row r="17" spans="2:14" s="321" customFormat="1" x14ac:dyDescent="0.3">
      <c r="B17" s="567"/>
      <c r="C17" s="568"/>
      <c r="D17" s="181"/>
      <c r="E17" s="181"/>
      <c r="F17" s="322"/>
      <c r="G17" s="181"/>
      <c r="H17" s="181"/>
      <c r="I17" s="322"/>
      <c r="J17" s="181"/>
      <c r="K17" s="181"/>
      <c r="L17" s="398"/>
      <c r="M17" s="399"/>
      <c r="N17" s="399"/>
    </row>
    <row r="18" spans="2:14" s="321" customFormat="1" x14ac:dyDescent="0.3">
      <c r="B18" s="567"/>
      <c r="C18" s="568"/>
      <c r="D18" s="607" t="s">
        <v>2</v>
      </c>
      <c r="E18" s="755" t="s">
        <v>3</v>
      </c>
      <c r="F18" s="753"/>
      <c r="G18" s="607" t="s">
        <v>2</v>
      </c>
      <c r="H18" s="755" t="s">
        <v>3</v>
      </c>
      <c r="I18" s="753"/>
      <c r="J18" s="607" t="s">
        <v>2</v>
      </c>
      <c r="K18" s="755" t="s">
        <v>3</v>
      </c>
      <c r="L18" s="802" t="s">
        <v>423</v>
      </c>
      <c r="M18" s="399"/>
      <c r="N18" s="399"/>
    </row>
    <row r="19" spans="2:14" s="321" customFormat="1" ht="14.4" x14ac:dyDescent="0.3">
      <c r="B19" s="567"/>
      <c r="C19" s="190" t="s">
        <v>41</v>
      </c>
      <c r="D19" s="181"/>
      <c r="E19" s="756"/>
      <c r="F19" s="322"/>
      <c r="G19" s="181"/>
      <c r="H19" s="756"/>
      <c r="I19" s="322"/>
      <c r="J19" s="181"/>
      <c r="K19" s="756"/>
      <c r="L19" s="398"/>
      <c r="M19" s="399"/>
      <c r="N19" s="399"/>
    </row>
    <row r="20" spans="2:14" s="321" customFormat="1" x14ac:dyDescent="0.3">
      <c r="B20" s="567"/>
      <c r="C20" s="192" t="s">
        <v>102</v>
      </c>
      <c r="D20" s="198">
        <f>D8/1000*-1</f>
        <v>0</v>
      </c>
      <c r="E20" s="757">
        <f>E8/1000*-1</f>
        <v>0</v>
      </c>
      <c r="F20" s="322"/>
      <c r="G20" s="198">
        <f>G8/1000*-1</f>
        <v>10581.05193</v>
      </c>
      <c r="H20" s="757">
        <f>H8/1000*-1</f>
        <v>0</v>
      </c>
      <c r="I20" s="322"/>
      <c r="J20" s="198">
        <f>J8/1000*-1</f>
        <v>0</v>
      </c>
      <c r="K20" s="757">
        <f>K8/1000*-1</f>
        <v>0</v>
      </c>
      <c r="L20" s="398"/>
      <c r="M20" s="399"/>
      <c r="N20" s="399"/>
    </row>
    <row r="21" spans="2:14" s="321" customFormat="1" ht="14.4" x14ac:dyDescent="0.3">
      <c r="B21" s="567"/>
      <c r="C21" s="191" t="s">
        <v>42</v>
      </c>
      <c r="D21" s="181">
        <f>SUM(D20)</f>
        <v>0</v>
      </c>
      <c r="E21" s="756">
        <f>SUM(E20)</f>
        <v>0</v>
      </c>
      <c r="F21" s="322"/>
      <c r="G21" s="181">
        <f>SUM(G20)</f>
        <v>10581.05193</v>
      </c>
      <c r="H21" s="756">
        <f>SUM(H20)</f>
        <v>0</v>
      </c>
      <c r="I21" s="322"/>
      <c r="J21" s="181">
        <f>SUM(J20)</f>
        <v>0</v>
      </c>
      <c r="K21" s="756">
        <f>SUM(K20)</f>
        <v>0</v>
      </c>
      <c r="L21" s="398"/>
      <c r="M21" s="399"/>
      <c r="N21" s="399"/>
    </row>
    <row r="22" spans="2:14" s="321" customFormat="1" x14ac:dyDescent="0.3">
      <c r="B22" s="567"/>
      <c r="C22" s="758" t="s">
        <v>15</v>
      </c>
      <c r="D22" s="181"/>
      <c r="E22" s="756"/>
      <c r="F22" s="322"/>
      <c r="G22" s="181"/>
      <c r="H22" s="756"/>
      <c r="I22" s="322"/>
      <c r="J22" s="181"/>
      <c r="K22" s="756"/>
      <c r="L22" s="398"/>
      <c r="M22" s="399"/>
      <c r="N22" s="399"/>
    </row>
    <row r="23" spans="2:14" s="321" customFormat="1" ht="14.4" x14ac:dyDescent="0.3">
      <c r="B23" s="567"/>
      <c r="C23" s="191" t="s">
        <v>43</v>
      </c>
      <c r="D23" s="181"/>
      <c r="E23" s="756"/>
      <c r="F23" s="322"/>
      <c r="G23" s="181"/>
      <c r="H23" s="756"/>
      <c r="I23" s="322"/>
      <c r="J23" s="181"/>
      <c r="K23" s="756"/>
      <c r="L23" s="398"/>
      <c r="M23" s="399"/>
      <c r="N23" s="399"/>
    </row>
    <row r="24" spans="2:14" s="321" customFormat="1" x14ac:dyDescent="0.3">
      <c r="B24" s="567"/>
      <c r="C24" s="192" t="s">
        <v>424</v>
      </c>
      <c r="D24" s="181">
        <f>(D9-D10)/1000</f>
        <v>371.11292999999995</v>
      </c>
      <c r="E24" s="756">
        <f>(E9-E10)/1000</f>
        <v>0</v>
      </c>
      <c r="F24" s="322"/>
      <c r="G24" s="181">
        <f>(G9-G10)/1000</f>
        <v>9044.9086600000028</v>
      </c>
      <c r="H24" s="756">
        <f>(H9-H10)/1000</f>
        <v>0</v>
      </c>
      <c r="I24" s="322"/>
      <c r="J24" s="181">
        <f>(J9-J10)/1000</f>
        <v>0</v>
      </c>
      <c r="K24" s="756">
        <f>(K9-K10)/1000</f>
        <v>0</v>
      </c>
      <c r="L24" s="802" t="s">
        <v>425</v>
      </c>
      <c r="M24" s="399"/>
      <c r="N24" s="399"/>
    </row>
    <row r="25" spans="2:14" s="321" customFormat="1" x14ac:dyDescent="0.3">
      <c r="B25" s="567"/>
      <c r="C25" s="192" t="s">
        <v>426</v>
      </c>
      <c r="D25" s="181">
        <f>D10/1000</f>
        <v>7.9382099999999998</v>
      </c>
      <c r="E25" s="756">
        <f>E10/1000</f>
        <v>0</v>
      </c>
      <c r="F25" s="322"/>
      <c r="G25" s="181">
        <f>G10/1000</f>
        <v>87.61487000000001</v>
      </c>
      <c r="H25" s="756">
        <f>H10/1000</f>
        <v>0</v>
      </c>
      <c r="I25" s="322"/>
      <c r="J25" s="181">
        <f>J10/1000</f>
        <v>0</v>
      </c>
      <c r="K25" s="756">
        <f>K10/1000</f>
        <v>0</v>
      </c>
      <c r="L25" s="802" t="s">
        <v>348</v>
      </c>
      <c r="M25" s="399"/>
      <c r="N25" s="399"/>
    </row>
    <row r="26" spans="2:14" s="321" customFormat="1" x14ac:dyDescent="0.3">
      <c r="B26" s="567"/>
      <c r="C26" s="192" t="s">
        <v>59</v>
      </c>
      <c r="D26" s="181">
        <f>D11/1000</f>
        <v>0</v>
      </c>
      <c r="E26" s="756">
        <f>E11/1000</f>
        <v>0</v>
      </c>
      <c r="F26" s="322"/>
      <c r="G26" s="181">
        <f>G11/1000</f>
        <v>1674.9968299999998</v>
      </c>
      <c r="H26" s="756">
        <f>H11/1000</f>
        <v>0</v>
      </c>
      <c r="I26" s="322"/>
      <c r="J26" s="181">
        <f>J11/1000</f>
        <v>0</v>
      </c>
      <c r="K26" s="756">
        <f>K11/1000</f>
        <v>0</v>
      </c>
      <c r="L26" s="802" t="s">
        <v>160</v>
      </c>
      <c r="M26" s="399"/>
      <c r="N26" s="399"/>
    </row>
    <row r="27" spans="2:14" s="321" customFormat="1" x14ac:dyDescent="0.3">
      <c r="B27" s="567"/>
      <c r="C27" s="192" t="s">
        <v>44</v>
      </c>
      <c r="D27" s="198">
        <f>(D12+D13)/1000</f>
        <v>0</v>
      </c>
      <c r="E27" s="757">
        <f>(E12+E13)/1000</f>
        <v>0</v>
      </c>
      <c r="F27" s="322"/>
      <c r="G27" s="198">
        <f>(G12+G13)/1000</f>
        <v>152.58270999999999</v>
      </c>
      <c r="H27" s="757">
        <f>(H12+H13)/1000</f>
        <v>0</v>
      </c>
      <c r="I27" s="322"/>
      <c r="J27" s="198">
        <f>(J12+J13)/1000</f>
        <v>0</v>
      </c>
      <c r="K27" s="757">
        <f>(K12+K13)/1000</f>
        <v>0</v>
      </c>
      <c r="L27" s="802" t="s">
        <v>427</v>
      </c>
      <c r="M27" s="399"/>
      <c r="N27" s="399"/>
    </row>
    <row r="28" spans="2:14" s="321" customFormat="1" ht="14.4" x14ac:dyDescent="0.3">
      <c r="B28" s="567"/>
      <c r="C28" s="191" t="s">
        <v>62</v>
      </c>
      <c r="D28" s="181">
        <f>SUM(D24:D27)</f>
        <v>379.05113999999998</v>
      </c>
      <c r="E28" s="756">
        <f>SUM(E24:E27)</f>
        <v>0</v>
      </c>
      <c r="F28" s="322"/>
      <c r="G28" s="181">
        <f>SUM(G24:G27)</f>
        <v>10960.103070000003</v>
      </c>
      <c r="H28" s="756">
        <f>SUM(H24:H27)</f>
        <v>0</v>
      </c>
      <c r="I28" s="322"/>
      <c r="J28" s="181">
        <f>SUM(J24:J27)</f>
        <v>0</v>
      </c>
      <c r="K28" s="756">
        <f>SUM(K24:K27)</f>
        <v>0</v>
      </c>
      <c r="L28" s="398"/>
      <c r="M28" s="399"/>
      <c r="N28" s="399"/>
    </row>
    <row r="29" spans="2:14" s="321" customFormat="1" x14ac:dyDescent="0.3">
      <c r="B29" s="567"/>
      <c r="C29" s="499"/>
      <c r="D29" s="181"/>
      <c r="E29" s="756"/>
      <c r="F29" s="322"/>
      <c r="G29" s="181"/>
      <c r="H29" s="756"/>
      <c r="I29" s="322"/>
      <c r="J29" s="181"/>
      <c r="K29" s="756"/>
      <c r="L29" s="398"/>
      <c r="M29" s="399"/>
      <c r="N29" s="399"/>
    </row>
    <row r="30" spans="2:14" s="321" customFormat="1" ht="15" thickBot="1" x14ac:dyDescent="0.35">
      <c r="B30" s="569"/>
      <c r="C30" s="191" t="s">
        <v>428</v>
      </c>
      <c r="D30" s="759">
        <f>D21-D28</f>
        <v>-379.05113999999998</v>
      </c>
      <c r="E30" s="760">
        <f>E21-E28</f>
        <v>0</v>
      </c>
      <c r="F30" s="322"/>
      <c r="G30" s="759">
        <f>G21-G28</f>
        <v>-379.05114000000322</v>
      </c>
      <c r="H30" s="760">
        <f>H21-H28</f>
        <v>0</v>
      </c>
      <c r="I30" s="322"/>
      <c r="J30" s="759">
        <f>J21-J28</f>
        <v>0</v>
      </c>
      <c r="K30" s="760">
        <f>K21-K28</f>
        <v>0</v>
      </c>
      <c r="L30" s="398"/>
      <c r="M30" s="399"/>
      <c r="N30" s="399"/>
    </row>
    <row r="31" spans="2:14" x14ac:dyDescent="0.3">
      <c r="D31" s="773"/>
      <c r="F31" s="761"/>
      <c r="I31" s="761"/>
    </row>
    <row r="32" spans="2:14" x14ac:dyDescent="0.3">
      <c r="F32" s="761"/>
      <c r="I32" s="761"/>
    </row>
  </sheetData>
  <pageMargins left="0.5" right="0.5" top="0.5" bottom="0.5" header="0.5" footer="0.25"/>
  <pageSetup scale="69" orientation="landscape" r:id="rId1"/>
  <headerFooter alignWithMargins="0">
    <oddFooter>&amp;L&amp;Z&amp;F     
&amp;A]&amp;R&amp;D  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M45"/>
  <sheetViews>
    <sheetView zoomScale="85" zoomScaleNormal="85" workbookViewId="0">
      <selection activeCell="A4" sqref="A4"/>
    </sheetView>
  </sheetViews>
  <sheetFormatPr defaultColWidth="5.6640625" defaultRowHeight="13.2" x14ac:dyDescent="0.25"/>
  <cols>
    <col min="1" max="1" width="47.109375" style="12" bestFit="1" customWidth="1"/>
    <col min="2" max="2" width="14.88671875" style="20" customWidth="1"/>
    <col min="3" max="3" width="14.88671875" style="16" customWidth="1"/>
    <col min="4" max="4" width="14.88671875" style="20" customWidth="1"/>
    <col min="5" max="5" width="14.88671875" style="772" customWidth="1"/>
    <col min="6" max="7" width="14.88671875" style="20" customWidth="1"/>
    <col min="8" max="8" width="18.44140625" style="20" hidden="1" customWidth="1"/>
    <col min="9" max="9" width="17.33203125" style="20" hidden="1" customWidth="1"/>
    <col min="10" max="10" width="14.88671875" style="20" hidden="1" customWidth="1"/>
    <col min="11" max="11" width="18" customWidth="1"/>
    <col min="12" max="12" width="11.109375" style="12" bestFit="1" customWidth="1"/>
    <col min="13" max="13" width="13.5546875" style="12" customWidth="1"/>
    <col min="14" max="16384" width="5.6640625" style="12"/>
  </cols>
  <sheetData>
    <row r="1" spans="1:12" ht="20.399999999999999" x14ac:dyDescent="0.35">
      <c r="A1" s="1243" t="s">
        <v>83</v>
      </c>
      <c r="B1" s="1244"/>
      <c r="C1" s="1244"/>
      <c r="D1" s="1244"/>
      <c r="E1" s="1244"/>
      <c r="F1" s="1244"/>
      <c r="G1" s="1244"/>
      <c r="H1" s="1244"/>
      <c r="I1" s="1244"/>
      <c r="J1" s="1244"/>
    </row>
    <row r="2" spans="1:12" ht="20.399999999999999" x14ac:dyDescent="0.35">
      <c r="A2" s="1243" t="s">
        <v>99</v>
      </c>
      <c r="B2" s="1244"/>
      <c r="C2" s="1244"/>
      <c r="D2" s="1244"/>
      <c r="E2" s="1244"/>
      <c r="F2" s="1244"/>
      <c r="G2" s="1244"/>
      <c r="H2" s="1244"/>
      <c r="I2" s="1244"/>
      <c r="J2" s="1244"/>
    </row>
    <row r="3" spans="1:12" ht="20.399999999999999" x14ac:dyDescent="0.35">
      <c r="A3" s="1243" t="s">
        <v>547</v>
      </c>
      <c r="B3" s="1244"/>
      <c r="C3" s="1244"/>
      <c r="D3" s="1244"/>
      <c r="E3" s="1244"/>
      <c r="F3" s="1244"/>
      <c r="G3" s="1244"/>
      <c r="H3" s="1244"/>
      <c r="I3" s="1244"/>
      <c r="J3" s="1244"/>
    </row>
    <row r="4" spans="1:12" ht="13.95" customHeight="1" x14ac:dyDescent="0.35">
      <c r="A4" s="4"/>
      <c r="B4" s="17"/>
      <c r="C4" s="14"/>
      <c r="D4" s="17"/>
      <c r="E4" s="1116"/>
      <c r="F4" s="17"/>
      <c r="G4" s="17"/>
      <c r="H4" s="17"/>
      <c r="I4" s="17"/>
      <c r="J4" s="17"/>
    </row>
    <row r="5" spans="1:12" ht="13.95" customHeight="1" x14ac:dyDescent="0.35">
      <c r="A5" s="4"/>
      <c r="B5" s="17"/>
      <c r="C5" s="14"/>
      <c r="D5" s="17"/>
      <c r="E5" s="1116"/>
      <c r="F5" s="17"/>
      <c r="G5" s="17"/>
      <c r="H5" s="17"/>
      <c r="I5" s="17"/>
      <c r="J5" s="17"/>
    </row>
    <row r="6" spans="1:12" ht="13.95" customHeight="1" thickBot="1" x14ac:dyDescent="0.3">
      <c r="A6" s="13"/>
      <c r="B6" s="18"/>
      <c r="C6" s="15"/>
      <c r="D6" s="18"/>
      <c r="E6" s="1117"/>
      <c r="F6" s="18"/>
      <c r="G6" s="18"/>
      <c r="H6" s="19"/>
      <c r="I6" s="19"/>
      <c r="J6" s="19"/>
    </row>
    <row r="7" spans="1:12" ht="18" thickBot="1" x14ac:dyDescent="0.35">
      <c r="A7" s="60"/>
      <c r="B7" s="1245" t="s">
        <v>40</v>
      </c>
      <c r="C7" s="1246"/>
      <c r="D7" s="1247"/>
      <c r="E7" s="1248" t="s">
        <v>275</v>
      </c>
      <c r="F7" s="1248"/>
      <c r="G7" s="1248"/>
      <c r="H7" s="887"/>
      <c r="I7" s="888" t="s">
        <v>30</v>
      </c>
      <c r="J7" s="484"/>
      <c r="K7" s="305"/>
    </row>
    <row r="8" spans="1:12" ht="24" customHeight="1" x14ac:dyDescent="0.25">
      <c r="A8" s="187" t="s">
        <v>52</v>
      </c>
      <c r="B8" s="359" t="s">
        <v>2</v>
      </c>
      <c r="C8" s="644" t="s">
        <v>17</v>
      </c>
      <c r="D8" s="360" t="s">
        <v>71</v>
      </c>
      <c r="E8" s="1118" t="s">
        <v>2</v>
      </c>
      <c r="F8" s="644" t="s">
        <v>17</v>
      </c>
      <c r="G8" s="360" t="s">
        <v>71</v>
      </c>
      <c r="H8" s="378" t="s">
        <v>2</v>
      </c>
      <c r="I8" s="379" t="s">
        <v>49</v>
      </c>
      <c r="J8" s="380" t="s">
        <v>71</v>
      </c>
      <c r="K8" s="339"/>
    </row>
    <row r="9" spans="1:12" ht="15.6" x14ac:dyDescent="0.3">
      <c r="A9" s="61"/>
      <c r="B9" s="188"/>
      <c r="C9" s="311"/>
      <c r="D9" s="62"/>
      <c r="E9" s="1119"/>
      <c r="F9" s="312"/>
      <c r="G9" s="62"/>
      <c r="H9" s="189"/>
      <c r="I9" s="312"/>
      <c r="J9" s="62"/>
      <c r="K9" s="339"/>
    </row>
    <row r="10" spans="1:12" ht="13.8" x14ac:dyDescent="0.25">
      <c r="A10" s="190" t="s">
        <v>41</v>
      </c>
      <c r="B10" s="67"/>
      <c r="C10" s="483"/>
      <c r="D10" s="41"/>
      <c r="E10" s="1120"/>
      <c r="F10" s="769"/>
      <c r="G10" s="770"/>
      <c r="H10" s="893"/>
      <c r="I10" s="894"/>
      <c r="J10" s="64"/>
      <c r="K10" s="339"/>
      <c r="L10" s="50"/>
    </row>
    <row r="11" spans="1:12" ht="15" x14ac:dyDescent="0.4">
      <c r="A11" s="192" t="s">
        <v>102</v>
      </c>
      <c r="B11" s="833">
        <f>'essincome-SME'!D20</f>
        <v>0</v>
      </c>
      <c r="C11" s="834">
        <f>'essincome-SME'!E20</f>
        <v>0</v>
      </c>
      <c r="D11" s="47">
        <f>B11-C11</f>
        <v>0</v>
      </c>
      <c r="E11" s="833">
        <f>'essincome-SME'!G20</f>
        <v>10581.05193</v>
      </c>
      <c r="F11" s="834">
        <f>'essincome-SME'!H20</f>
        <v>0</v>
      </c>
      <c r="G11" s="47">
        <f>E11-F11</f>
        <v>10581.05193</v>
      </c>
      <c r="H11" s="996">
        <f>'essincome-SME'!G20</f>
        <v>10581.05193</v>
      </c>
      <c r="I11" s="834">
        <f>'essincome-SME'!J20</f>
        <v>0</v>
      </c>
      <c r="J11" s="47">
        <f>H11-I11</f>
        <v>10581.05193</v>
      </c>
      <c r="K11" s="339"/>
      <c r="L11" s="16"/>
    </row>
    <row r="12" spans="1:12" ht="13.8" x14ac:dyDescent="0.25">
      <c r="A12" s="191" t="s">
        <v>42</v>
      </c>
      <c r="B12" s="28">
        <f t="shared" ref="B12:J12" si="0">SUM(B11:B11)</f>
        <v>0</v>
      </c>
      <c r="C12" s="472">
        <f>SUM(C11:C11)</f>
        <v>0</v>
      </c>
      <c r="D12" s="29">
        <f t="shared" si="0"/>
        <v>0</v>
      </c>
      <c r="E12" s="28">
        <f t="shared" si="0"/>
        <v>10581.05193</v>
      </c>
      <c r="F12" s="472">
        <f>SUM(F11:F11)</f>
        <v>0</v>
      </c>
      <c r="G12" s="29">
        <f t="shared" si="0"/>
        <v>10581.05193</v>
      </c>
      <c r="H12" s="990">
        <f>SUM(H11:H11)</f>
        <v>10581.05193</v>
      </c>
      <c r="I12" s="472">
        <f>SUM(I11:I11)</f>
        <v>0</v>
      </c>
      <c r="J12" s="29">
        <f t="shared" si="0"/>
        <v>10581.05193</v>
      </c>
      <c r="K12" s="339"/>
      <c r="L12" s="50"/>
    </row>
    <row r="13" spans="1:12" x14ac:dyDescent="0.25">
      <c r="A13" s="758" t="s">
        <v>15</v>
      </c>
      <c r="B13" s="65"/>
      <c r="C13" s="762"/>
      <c r="D13" s="763"/>
      <c r="E13" s="65"/>
      <c r="F13" s="762"/>
      <c r="G13" s="763"/>
      <c r="H13" s="997"/>
      <c r="I13" s="762"/>
      <c r="J13" s="763"/>
      <c r="K13" s="339"/>
      <c r="L13" s="50"/>
    </row>
    <row r="14" spans="1:12" ht="13.8" x14ac:dyDescent="0.25">
      <c r="A14" s="191" t="s">
        <v>43</v>
      </c>
      <c r="B14" s="67"/>
      <c r="C14" s="483"/>
      <c r="D14" s="41"/>
      <c r="E14" s="90"/>
      <c r="F14" s="483"/>
      <c r="G14" s="41"/>
      <c r="H14" s="998"/>
      <c r="I14" s="483"/>
      <c r="J14" s="41"/>
      <c r="K14" s="339"/>
      <c r="L14" s="50"/>
    </row>
    <row r="15" spans="1:12" x14ac:dyDescent="0.25">
      <c r="A15" s="192" t="s">
        <v>424</v>
      </c>
      <c r="B15" s="764">
        <f>'essincome-SME'!D24</f>
        <v>371.11292999999995</v>
      </c>
      <c r="C15" s="765">
        <f>'essincome-SME'!E24</f>
        <v>0</v>
      </c>
      <c r="D15" s="93">
        <f>C15-B15</f>
        <v>-371.11292999999995</v>
      </c>
      <c r="E15" s="764">
        <f>'essincome-SME'!G24</f>
        <v>9044.9086600000028</v>
      </c>
      <c r="F15" s="765">
        <f>'essincome-SME'!H24</f>
        <v>0</v>
      </c>
      <c r="G15" s="93">
        <f>F15-E15</f>
        <v>-9044.9086600000028</v>
      </c>
      <c r="H15" s="999">
        <f>'essincome-SME'!G24</f>
        <v>9044.9086600000028</v>
      </c>
      <c r="I15" s="765">
        <f>'essincome-SME'!J24</f>
        <v>0</v>
      </c>
      <c r="J15" s="93">
        <f>I15-H15</f>
        <v>-9044.9086600000028</v>
      </c>
    </row>
    <row r="16" spans="1:12" x14ac:dyDescent="0.25">
      <c r="A16" s="192" t="s">
        <v>426</v>
      </c>
      <c r="B16" s="764">
        <f>'essincome-SME'!D25</f>
        <v>7.9382099999999998</v>
      </c>
      <c r="C16" s="765">
        <f>'essincome-SME'!E25</f>
        <v>0</v>
      </c>
      <c r="D16" s="93">
        <f>C16-B16</f>
        <v>-7.9382099999999998</v>
      </c>
      <c r="E16" s="764">
        <f>'essincome-SME'!G25</f>
        <v>87.61487000000001</v>
      </c>
      <c r="F16" s="765">
        <f>'essincome-SME'!H25</f>
        <v>0</v>
      </c>
      <c r="G16" s="93">
        <f>F16-E16</f>
        <v>-87.61487000000001</v>
      </c>
      <c r="H16" s="999">
        <f>'essincome-SME'!G25</f>
        <v>87.61487000000001</v>
      </c>
      <c r="I16" s="765">
        <f>'essincome-SME'!J25</f>
        <v>0</v>
      </c>
      <c r="J16" s="93">
        <f>I16-H16</f>
        <v>-87.61487000000001</v>
      </c>
    </row>
    <row r="17" spans="1:13" x14ac:dyDescent="0.25">
      <c r="A17" s="192" t="s">
        <v>59</v>
      </c>
      <c r="B17" s="764">
        <f>'essincome-SME'!D26</f>
        <v>0</v>
      </c>
      <c r="C17" s="765">
        <f>'essincome-SME'!E26</f>
        <v>0</v>
      </c>
      <c r="D17" s="93">
        <f>C17-B17</f>
        <v>0</v>
      </c>
      <c r="E17" s="764">
        <f>'essincome-SME'!G26</f>
        <v>1674.9968299999998</v>
      </c>
      <c r="F17" s="765">
        <f>'essincome-SME'!H26</f>
        <v>0</v>
      </c>
      <c r="G17" s="93">
        <f>F17-E17</f>
        <v>-1674.9968299999998</v>
      </c>
      <c r="H17" s="999">
        <f>'essincome-SME'!G26</f>
        <v>1674.9968299999998</v>
      </c>
      <c r="I17" s="765">
        <f>'essincome-SME'!J26</f>
        <v>0</v>
      </c>
      <c r="J17" s="93">
        <f>I17-H17</f>
        <v>-1674.9968299999998</v>
      </c>
      <c r="M17" s="50"/>
    </row>
    <row r="18" spans="1:13" ht="15" x14ac:dyDescent="0.4">
      <c r="A18" s="192" t="s">
        <v>44</v>
      </c>
      <c r="B18" s="833">
        <f>'essincome-SME'!D27</f>
        <v>0</v>
      </c>
      <c r="C18" s="834">
        <f>'essincome-SME'!E27</f>
        <v>0</v>
      </c>
      <c r="D18" s="47">
        <f>C18-B18</f>
        <v>0</v>
      </c>
      <c r="E18" s="833">
        <f>'essincome-SME'!G27</f>
        <v>152.58270999999999</v>
      </c>
      <c r="F18" s="834">
        <f>'essincome-SME'!H27</f>
        <v>0</v>
      </c>
      <c r="G18" s="47">
        <f>F18-E18</f>
        <v>-152.58270999999999</v>
      </c>
      <c r="H18" s="996">
        <f>'essincome-SME'!G27</f>
        <v>152.58270999999999</v>
      </c>
      <c r="I18" s="834">
        <f>'essincome-SME'!J27</f>
        <v>0</v>
      </c>
      <c r="J18" s="47">
        <f>I18-H18</f>
        <v>-152.58270999999999</v>
      </c>
      <c r="M18" s="50"/>
    </row>
    <row r="19" spans="1:13" ht="13.8" x14ac:dyDescent="0.25">
      <c r="A19" s="191" t="s">
        <v>62</v>
      </c>
      <c r="B19" s="313">
        <f t="shared" ref="B19:J19" si="1">SUM(B15:B18)</f>
        <v>379.05113999999998</v>
      </c>
      <c r="C19" s="475">
        <f>SUM(C15:C18)</f>
        <v>0</v>
      </c>
      <c r="D19" s="102">
        <f t="shared" si="1"/>
        <v>-379.05113999999998</v>
      </c>
      <c r="E19" s="1129">
        <f t="shared" si="1"/>
        <v>10960.103070000003</v>
      </c>
      <c r="F19" s="475">
        <f>SUM(F15:F18)</f>
        <v>0</v>
      </c>
      <c r="G19" s="102">
        <f t="shared" si="1"/>
        <v>-10960.103070000003</v>
      </c>
      <c r="H19" s="991">
        <f>SUM(H15:H18)</f>
        <v>10960.103070000003</v>
      </c>
      <c r="I19" s="475">
        <f>SUM(I15:I18)</f>
        <v>0</v>
      </c>
      <c r="J19" s="102">
        <f t="shared" si="1"/>
        <v>-10960.103070000003</v>
      </c>
      <c r="K19" s="338"/>
      <c r="L19" s="76"/>
    </row>
    <row r="20" spans="1:13" ht="13.2" customHeight="1" x14ac:dyDescent="0.25">
      <c r="A20" s="499"/>
      <c r="B20" s="99"/>
      <c r="C20" s="92"/>
      <c r="D20" s="95"/>
      <c r="E20" s="99"/>
      <c r="F20" s="92"/>
      <c r="G20" s="95"/>
      <c r="H20" s="1000"/>
      <c r="I20" s="485"/>
      <c r="J20" s="95"/>
      <c r="K20" s="339"/>
      <c r="L20" s="50"/>
    </row>
    <row r="21" spans="1:13" ht="14.4" thickBot="1" x14ac:dyDescent="0.3">
      <c r="A21" s="191" t="s">
        <v>356</v>
      </c>
      <c r="B21" s="53">
        <f>B12-B19</f>
        <v>-379.05113999999998</v>
      </c>
      <c r="C21" s="52">
        <f>C12-C19</f>
        <v>0</v>
      </c>
      <c r="D21" s="54">
        <f>B21-C21</f>
        <v>-379.05113999999998</v>
      </c>
      <c r="E21" s="53">
        <f>E12-E19</f>
        <v>-379.05114000000322</v>
      </c>
      <c r="F21" s="52">
        <f>F12-F19</f>
        <v>0</v>
      </c>
      <c r="G21" s="54">
        <f>E21-F21</f>
        <v>-379.05114000000322</v>
      </c>
      <c r="H21" s="1001">
        <f>H12-H19</f>
        <v>-379.05114000000322</v>
      </c>
      <c r="I21" s="69">
        <f>I12-I19</f>
        <v>0</v>
      </c>
      <c r="J21" s="892">
        <f>H21-I21</f>
        <v>-379.05114000000322</v>
      </c>
      <c r="K21" s="339"/>
      <c r="L21" s="338"/>
      <c r="M21" s="76"/>
    </row>
    <row r="22" spans="1:13" x14ac:dyDescent="0.25">
      <c r="B22" s="772"/>
      <c r="C22" s="772"/>
      <c r="D22" s="772"/>
      <c r="F22" s="771"/>
      <c r="G22" s="771"/>
      <c r="H22" s="807"/>
      <c r="I22" s="71"/>
      <c r="J22" s="71"/>
      <c r="K22" s="339"/>
      <c r="L22" s="338"/>
      <c r="M22" s="76"/>
    </row>
    <row r="23" spans="1:13" x14ac:dyDescent="0.25">
      <c r="A23" s="193"/>
      <c r="B23" s="772"/>
      <c r="C23" s="772"/>
      <c r="D23" s="772"/>
      <c r="F23" s="771"/>
      <c r="G23" s="771"/>
      <c r="H23" s="76"/>
      <c r="K23" s="339"/>
      <c r="L23" s="338"/>
      <c r="M23" s="76"/>
    </row>
    <row r="24" spans="1:13" x14ac:dyDescent="0.25">
      <c r="B24" s="76"/>
      <c r="C24" s="981"/>
      <c r="D24" s="76"/>
      <c r="E24" s="1221"/>
      <c r="F24" s="76"/>
      <c r="G24" s="76"/>
      <c r="H24" s="76"/>
      <c r="I24" s="76"/>
      <c r="J24" s="76"/>
      <c r="K24" s="339"/>
      <c r="L24" s="338"/>
      <c r="M24" s="76"/>
    </row>
    <row r="25" spans="1:13" x14ac:dyDescent="0.25">
      <c r="B25" s="772"/>
      <c r="C25" s="772"/>
      <c r="D25" s="772"/>
      <c r="E25" s="1221"/>
      <c r="F25" s="771"/>
      <c r="G25" s="771"/>
    </row>
    <row r="26" spans="1:13" x14ac:dyDescent="0.25">
      <c r="C26" s="20"/>
    </row>
    <row r="27" spans="1:13" x14ac:dyDescent="0.25">
      <c r="C27" s="20"/>
    </row>
    <row r="28" spans="1:13" x14ac:dyDescent="0.25">
      <c r="C28" s="20"/>
    </row>
    <row r="29" spans="1:13" x14ac:dyDescent="0.25">
      <c r="C29" s="20"/>
    </row>
    <row r="30" spans="1:13" x14ac:dyDescent="0.25">
      <c r="C30" s="20"/>
    </row>
    <row r="31" spans="1:13" x14ac:dyDescent="0.25">
      <c r="C31" s="20"/>
    </row>
    <row r="32" spans="1:13" x14ac:dyDescent="0.25">
      <c r="C32" s="20"/>
    </row>
    <row r="33" spans="3:5" s="12" customFormat="1" x14ac:dyDescent="0.25">
      <c r="C33" s="20"/>
      <c r="E33" s="772"/>
    </row>
    <row r="34" spans="3:5" s="12" customFormat="1" x14ac:dyDescent="0.25">
      <c r="C34" s="20"/>
      <c r="E34" s="772"/>
    </row>
    <row r="35" spans="3:5" s="12" customFormat="1" x14ac:dyDescent="0.25">
      <c r="C35" s="20"/>
      <c r="E35" s="772"/>
    </row>
    <row r="36" spans="3:5" s="12" customFormat="1" x14ac:dyDescent="0.25">
      <c r="C36" s="20"/>
      <c r="E36" s="772"/>
    </row>
    <row r="37" spans="3:5" s="12" customFormat="1" x14ac:dyDescent="0.25">
      <c r="C37" s="20"/>
      <c r="E37" s="772"/>
    </row>
    <row r="45" spans="3:5" s="12" customFormat="1" x14ac:dyDescent="0.25">
      <c r="C45" s="16"/>
      <c r="E45" s="772"/>
    </row>
  </sheetData>
  <mergeCells count="5">
    <mergeCell ref="A1:J1"/>
    <mergeCell ref="A2:J2"/>
    <mergeCell ref="A3:J3"/>
    <mergeCell ref="B7:D7"/>
    <mergeCell ref="E7:G7"/>
  </mergeCells>
  <printOptions horizontalCentered="1"/>
  <pageMargins left="0.75" right="0.75" top="1" bottom="1" header="0.5" footer="0.5"/>
  <pageSetup scale="80" orientation="landscape" r:id="rId1"/>
  <headerFooter alignWithMargins="0">
    <oddFooter>&amp;L&amp;F&amp;RCONFIDENTIAL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  <pageSetUpPr fitToPage="1"/>
  </sheetPr>
  <dimension ref="A1:S196"/>
  <sheetViews>
    <sheetView zoomScale="80" zoomScaleNormal="80" workbookViewId="0">
      <pane ySplit="4" topLeftCell="A25" activePane="bottomLeft" state="frozen"/>
      <selection activeCell="K43" sqref="K43"/>
      <selection pane="bottomLeft" sqref="A1:L52"/>
    </sheetView>
  </sheetViews>
  <sheetFormatPr defaultColWidth="9.109375" defaultRowHeight="13.8" x14ac:dyDescent="0.3"/>
  <cols>
    <col min="1" max="1" width="36.44140625" style="110" customWidth="1"/>
    <col min="2" max="2" width="14.88671875" style="368" customWidth="1"/>
    <col min="3" max="3" width="14.88671875" style="143" customWidth="1"/>
    <col min="4" max="4" width="14.88671875" style="336" customWidth="1"/>
    <col min="5" max="6" width="14.88671875" style="138" customWidth="1"/>
    <col min="7" max="7" width="14.88671875" style="713" customWidth="1"/>
    <col min="8" max="8" width="14.88671875" style="138" customWidth="1"/>
    <col min="9" max="9" width="18" style="694" bestFit="1" customWidth="1"/>
    <col min="10" max="10" width="14.88671875" style="143" customWidth="1"/>
    <col min="11" max="12" width="14.88671875" style="110" customWidth="1"/>
    <col min="13" max="13" width="13.109375" style="110" bestFit="1" customWidth="1"/>
    <col min="14" max="14" width="9.88671875" style="110" bestFit="1" customWidth="1"/>
    <col min="15" max="15" width="9.109375" style="110"/>
    <col min="16" max="16" width="28.44140625" style="110" bestFit="1" customWidth="1"/>
    <col min="17" max="18" width="15.5546875" style="110" customWidth="1"/>
    <col min="19" max="19" width="14.44140625" style="110" customWidth="1"/>
    <col min="20" max="16384" width="9.109375" style="110"/>
  </cols>
  <sheetData>
    <row r="1" spans="1:19" x14ac:dyDescent="0.3">
      <c r="B1" s="787" t="s">
        <v>1</v>
      </c>
      <c r="C1" s="412" t="s">
        <v>72</v>
      </c>
      <c r="D1" s="453"/>
      <c r="E1" s="135"/>
      <c r="F1" s="135"/>
      <c r="G1" s="701"/>
      <c r="H1" s="135"/>
      <c r="I1" s="683"/>
      <c r="J1" s="136"/>
      <c r="Q1" s="787" t="s">
        <v>1</v>
      </c>
      <c r="R1" s="702" t="s">
        <v>72</v>
      </c>
    </row>
    <row r="2" spans="1:19" x14ac:dyDescent="0.3">
      <c r="A2" s="788"/>
      <c r="B2" s="413" t="s">
        <v>501</v>
      </c>
      <c r="C2" s="413" t="s">
        <v>501</v>
      </c>
      <c r="D2" s="413" t="s">
        <v>501</v>
      </c>
      <c r="E2" s="413" t="s">
        <v>501</v>
      </c>
      <c r="F2" s="413" t="s">
        <v>501</v>
      </c>
      <c r="G2" s="413" t="s">
        <v>501</v>
      </c>
      <c r="H2" s="413" t="s">
        <v>501</v>
      </c>
      <c r="I2" s="413" t="s">
        <v>481</v>
      </c>
      <c r="J2" s="413" t="s">
        <v>481</v>
      </c>
      <c r="K2" s="406"/>
      <c r="L2" s="413" t="s">
        <v>481</v>
      </c>
      <c r="M2" s="406"/>
      <c r="P2" s="788"/>
      <c r="Q2" s="684" t="s">
        <v>268</v>
      </c>
      <c r="R2" s="413" t="s">
        <v>436</v>
      </c>
    </row>
    <row r="3" spans="1:19" x14ac:dyDescent="0.3">
      <c r="A3" s="788"/>
      <c r="B3" s="415" t="s">
        <v>537</v>
      </c>
      <c r="C3" s="415" t="s">
        <v>537</v>
      </c>
      <c r="D3" s="415" t="s">
        <v>544</v>
      </c>
      <c r="E3" s="415" t="s">
        <v>544</v>
      </c>
      <c r="F3" s="415" t="s">
        <v>544</v>
      </c>
      <c r="G3" s="702" t="s">
        <v>544</v>
      </c>
      <c r="H3" s="415" t="s">
        <v>544</v>
      </c>
      <c r="I3" s="685" t="s">
        <v>53</v>
      </c>
      <c r="J3" s="411" t="s">
        <v>53</v>
      </c>
      <c r="K3" s="406"/>
      <c r="L3" s="415" t="s">
        <v>53</v>
      </c>
      <c r="M3" s="406"/>
      <c r="P3" s="788"/>
      <c r="Q3" s="685" t="s">
        <v>53</v>
      </c>
      <c r="R3" s="702" t="s">
        <v>53</v>
      </c>
    </row>
    <row r="4" spans="1:19" x14ac:dyDescent="0.3">
      <c r="A4" s="788"/>
      <c r="B4" s="787" t="s">
        <v>2</v>
      </c>
      <c r="C4" s="415" t="s">
        <v>3</v>
      </c>
      <c r="D4" s="416" t="s">
        <v>2</v>
      </c>
      <c r="E4" s="415" t="s">
        <v>3</v>
      </c>
      <c r="F4" s="415" t="s">
        <v>2</v>
      </c>
      <c r="G4" s="703" t="s">
        <v>49</v>
      </c>
      <c r="H4" s="415" t="s">
        <v>3</v>
      </c>
      <c r="I4" s="685" t="s">
        <v>2</v>
      </c>
      <c r="J4" s="411" t="s">
        <v>3</v>
      </c>
      <c r="K4" s="406"/>
      <c r="L4" s="415" t="s">
        <v>2</v>
      </c>
      <c r="M4" s="406"/>
      <c r="P4" s="788"/>
      <c r="Q4" s="685" t="s">
        <v>2</v>
      </c>
      <c r="R4" s="703" t="s">
        <v>49</v>
      </c>
    </row>
    <row r="5" spans="1:19" x14ac:dyDescent="0.3">
      <c r="A5" s="789" t="s">
        <v>164</v>
      </c>
      <c r="B5" s="448">
        <v>65807134.439999998</v>
      </c>
      <c r="C5" s="448" t="s">
        <v>45</v>
      </c>
      <c r="D5" s="325">
        <v>53159547.429999992</v>
      </c>
      <c r="E5" s="850" t="s">
        <v>45</v>
      </c>
      <c r="F5" s="154">
        <v>53159547.429999992</v>
      </c>
      <c r="G5" s="704" t="s">
        <v>45</v>
      </c>
      <c r="H5" s="850" t="s">
        <v>45</v>
      </c>
      <c r="I5" s="686">
        <v>33004932.11999999</v>
      </c>
      <c r="J5" s="448" t="s">
        <v>45</v>
      </c>
      <c r="K5" s="138"/>
      <c r="L5" s="154">
        <v>33004932.11999999</v>
      </c>
      <c r="M5" s="695"/>
      <c r="P5" s="789" t="s">
        <v>164</v>
      </c>
      <c r="Q5" s="692">
        <v>6862964.1699999971</v>
      </c>
      <c r="R5" s="704">
        <v>2587575.3438784443</v>
      </c>
      <c r="S5" s="695">
        <f t="shared" ref="S5:S44" si="0">(R5-Q5)/1000</f>
        <v>-4275.3888261215525</v>
      </c>
    </row>
    <row r="6" spans="1:19" x14ac:dyDescent="0.3">
      <c r="A6" s="789" t="s">
        <v>165</v>
      </c>
      <c r="B6" s="448">
        <v>0</v>
      </c>
      <c r="C6" s="448" t="s">
        <v>45</v>
      </c>
      <c r="D6" s="325">
        <v>0</v>
      </c>
      <c r="E6" s="850" t="s">
        <v>45</v>
      </c>
      <c r="F6" s="154">
        <v>0</v>
      </c>
      <c r="G6" s="705" t="s">
        <v>45</v>
      </c>
      <c r="H6" s="850" t="s">
        <v>45</v>
      </c>
      <c r="I6" s="686">
        <v>0</v>
      </c>
      <c r="J6" s="448" t="s">
        <v>45</v>
      </c>
      <c r="K6" s="139"/>
      <c r="L6" s="154">
        <v>0</v>
      </c>
      <c r="M6" s="695"/>
      <c r="P6" s="789" t="s">
        <v>165</v>
      </c>
      <c r="Q6" s="686">
        <v>0</v>
      </c>
      <c r="R6" s="705">
        <v>0</v>
      </c>
      <c r="S6" s="695">
        <f t="shared" si="0"/>
        <v>0</v>
      </c>
    </row>
    <row r="7" spans="1:19" x14ac:dyDescent="0.3">
      <c r="A7" s="789" t="s">
        <v>166</v>
      </c>
      <c r="B7" s="448">
        <v>41048999.540000044</v>
      </c>
      <c r="C7" s="448" t="s">
        <v>45</v>
      </c>
      <c r="D7" s="325">
        <v>-14368807.579999957</v>
      </c>
      <c r="E7" s="850" t="s">
        <v>45</v>
      </c>
      <c r="F7" s="154">
        <v>-14368807.579999957</v>
      </c>
      <c r="G7" s="704" t="s">
        <v>45</v>
      </c>
      <c r="H7" s="850" t="s">
        <v>45</v>
      </c>
      <c r="I7" s="686">
        <v>31102732.469999932</v>
      </c>
      <c r="J7" s="448" t="s">
        <v>45</v>
      </c>
      <c r="K7" s="139"/>
      <c r="L7" s="154">
        <v>31102732.469999932</v>
      </c>
      <c r="M7" s="695"/>
      <c r="P7" s="789" t="s">
        <v>166</v>
      </c>
      <c r="Q7" s="686">
        <v>16833319.199999996</v>
      </c>
      <c r="R7" s="704">
        <v>15490413.479161127</v>
      </c>
      <c r="S7" s="695">
        <f t="shared" si="0"/>
        <v>-1342.905720838869</v>
      </c>
    </row>
    <row r="8" spans="1:19" x14ac:dyDescent="0.3">
      <c r="A8" s="789" t="s">
        <v>167</v>
      </c>
      <c r="B8" s="448">
        <v>6714823.3899999997</v>
      </c>
      <c r="C8" s="448" t="s">
        <v>45</v>
      </c>
      <c r="D8" s="325">
        <v>6369720.8899999997</v>
      </c>
      <c r="E8" s="850" t="s">
        <v>45</v>
      </c>
      <c r="F8" s="154">
        <v>6369720.8899999997</v>
      </c>
      <c r="G8" s="704" t="s">
        <v>45</v>
      </c>
      <c r="H8" s="850" t="s">
        <v>45</v>
      </c>
      <c r="I8" s="686">
        <v>6613649.7999999998</v>
      </c>
      <c r="J8" s="448" t="s">
        <v>45</v>
      </c>
      <c r="K8" s="139"/>
      <c r="L8" s="154">
        <v>6613649.7999999998</v>
      </c>
      <c r="M8" s="695"/>
      <c r="P8" s="789" t="s">
        <v>167</v>
      </c>
      <c r="Q8" s="686">
        <v>3687261.8000000003</v>
      </c>
      <c r="R8" s="704">
        <v>3510188.1599999992</v>
      </c>
      <c r="S8" s="695">
        <f t="shared" si="0"/>
        <v>-177.07364000000106</v>
      </c>
    </row>
    <row r="9" spans="1:19" x14ac:dyDescent="0.3">
      <c r="A9" s="790" t="s">
        <v>5</v>
      </c>
      <c r="B9" s="649">
        <v>113570957.37000194</v>
      </c>
      <c r="C9" s="649" t="s">
        <v>45</v>
      </c>
      <c r="D9" s="324">
        <v>56429703.80000177</v>
      </c>
      <c r="E9" s="851" t="s">
        <v>45</v>
      </c>
      <c r="F9" s="159">
        <v>56429703.80000177</v>
      </c>
      <c r="G9" s="706" t="s">
        <v>45</v>
      </c>
      <c r="H9" s="851" t="s">
        <v>45</v>
      </c>
      <c r="I9" s="687">
        <v>70721314.390001923</v>
      </c>
      <c r="J9" s="649" t="s">
        <v>45</v>
      </c>
      <c r="K9" s="139"/>
      <c r="L9" s="159">
        <v>70721314.390001923</v>
      </c>
      <c r="M9" s="695"/>
      <c r="P9" s="790" t="s">
        <v>5</v>
      </c>
      <c r="Q9" s="687">
        <v>27383545.169999994</v>
      </c>
      <c r="R9" s="706">
        <v>21588176.98303958</v>
      </c>
      <c r="S9" s="695">
        <f t="shared" si="0"/>
        <v>-5795.3681869604143</v>
      </c>
    </row>
    <row r="10" spans="1:19" x14ac:dyDescent="0.3">
      <c r="A10" s="789" t="s">
        <v>168</v>
      </c>
      <c r="B10" s="448">
        <v>467347060.00999999</v>
      </c>
      <c r="C10" s="448" t="s">
        <v>45</v>
      </c>
      <c r="D10" s="325">
        <v>467347060.00999999</v>
      </c>
      <c r="E10" s="850" t="s">
        <v>45</v>
      </c>
      <c r="F10" s="154">
        <v>467347060.00999999</v>
      </c>
      <c r="G10" s="704" t="s">
        <v>45</v>
      </c>
      <c r="H10" s="850" t="s">
        <v>45</v>
      </c>
      <c r="I10" s="686">
        <v>463232322.11000007</v>
      </c>
      <c r="J10" s="448" t="s">
        <v>45</v>
      </c>
      <c r="K10" s="442"/>
      <c r="L10" s="154">
        <v>463232322.11000007</v>
      </c>
      <c r="M10" s="695"/>
      <c r="P10" s="789" t="s">
        <v>168</v>
      </c>
      <c r="Q10" s="686">
        <v>375311763.17000008</v>
      </c>
      <c r="R10" s="704">
        <v>391551734.17000002</v>
      </c>
      <c r="S10" s="695">
        <f t="shared" si="0"/>
        <v>16239.97099999994</v>
      </c>
    </row>
    <row r="11" spans="1:19" x14ac:dyDescent="0.3">
      <c r="A11" s="789" t="s">
        <v>169</v>
      </c>
      <c r="B11" s="448">
        <v>-379073184.47000003</v>
      </c>
      <c r="C11" s="448" t="s">
        <v>45</v>
      </c>
      <c r="D11" s="325">
        <v>-379073184.47000003</v>
      </c>
      <c r="E11" s="850" t="s">
        <v>45</v>
      </c>
      <c r="F11" s="154">
        <v>-379073184.47000003</v>
      </c>
      <c r="G11" s="704" t="s">
        <v>45</v>
      </c>
      <c r="H11" s="850" t="s">
        <v>45</v>
      </c>
      <c r="I11" s="686">
        <v>-369808793.94</v>
      </c>
      <c r="J11" s="448" t="s">
        <v>45</v>
      </c>
      <c r="K11" s="139"/>
      <c r="L11" s="154">
        <v>-369808793.94</v>
      </c>
      <c r="M11" s="695"/>
      <c r="P11" s="789" t="s">
        <v>169</v>
      </c>
      <c r="Q11" s="686">
        <v>-292385097.13</v>
      </c>
      <c r="R11" s="704">
        <v>-310143352.81000006</v>
      </c>
      <c r="S11" s="695">
        <f t="shared" si="0"/>
        <v>-17758.255680000068</v>
      </c>
    </row>
    <row r="12" spans="1:19" x14ac:dyDescent="0.3">
      <c r="A12" s="789" t="s">
        <v>170</v>
      </c>
      <c r="B12" s="448">
        <v>37229399.899999999</v>
      </c>
      <c r="C12" s="448" t="s">
        <v>45</v>
      </c>
      <c r="D12" s="325">
        <v>37229399.899999999</v>
      </c>
      <c r="E12" s="850" t="s">
        <v>45</v>
      </c>
      <c r="F12" s="154">
        <v>37229399.899999999</v>
      </c>
      <c r="G12" s="704" t="s">
        <v>45</v>
      </c>
      <c r="H12" s="850" t="s">
        <v>45</v>
      </c>
      <c r="I12" s="686">
        <v>36911132.990000017</v>
      </c>
      <c r="J12" s="448" t="s">
        <v>45</v>
      </c>
      <c r="K12" s="139"/>
      <c r="L12" s="154">
        <v>36911132.990000017</v>
      </c>
      <c r="M12" s="695"/>
      <c r="P12" s="789" t="s">
        <v>170</v>
      </c>
      <c r="Q12" s="686">
        <v>31215361.409999993</v>
      </c>
      <c r="R12" s="704">
        <v>32774591.41</v>
      </c>
      <c r="S12" s="695">
        <f t="shared" si="0"/>
        <v>1559.2300000000075</v>
      </c>
    </row>
    <row r="13" spans="1:19" x14ac:dyDescent="0.3">
      <c r="A13" s="789" t="s">
        <v>171</v>
      </c>
      <c r="B13" s="448">
        <v>-30864411.969999999</v>
      </c>
      <c r="C13" s="448" t="s">
        <v>45</v>
      </c>
      <c r="D13" s="325">
        <v>-30864411.969999999</v>
      </c>
      <c r="E13" s="850" t="s">
        <v>45</v>
      </c>
      <c r="F13" s="154">
        <v>-30864411.969999999</v>
      </c>
      <c r="G13" s="704" t="s">
        <v>45</v>
      </c>
      <c r="H13" s="850" t="s">
        <v>45</v>
      </c>
      <c r="I13" s="686">
        <v>-29189415.140000008</v>
      </c>
      <c r="J13" s="448" t="s">
        <v>45</v>
      </c>
      <c r="K13" s="139"/>
      <c r="L13" s="154">
        <v>-29189415.140000008</v>
      </c>
      <c r="M13" s="695"/>
      <c r="P13" s="789" t="s">
        <v>171</v>
      </c>
      <c r="Q13" s="686">
        <v>-13425311.540000001</v>
      </c>
      <c r="R13" s="704">
        <v>-17283567.219999999</v>
      </c>
      <c r="S13" s="695">
        <f t="shared" si="0"/>
        <v>-3858.2556799999979</v>
      </c>
    </row>
    <row r="14" spans="1:19" x14ac:dyDescent="0.3">
      <c r="A14" s="789" t="s">
        <v>172</v>
      </c>
      <c r="B14" s="448">
        <v>-2.9802322387695313E-8</v>
      </c>
      <c r="C14" s="448" t="s">
        <v>45</v>
      </c>
      <c r="D14" s="325">
        <v>12197.77999997139</v>
      </c>
      <c r="E14" s="850" t="s">
        <v>45</v>
      </c>
      <c r="F14" s="154">
        <v>12197.77999997139</v>
      </c>
      <c r="G14" s="704" t="s">
        <v>45</v>
      </c>
      <c r="H14" s="850" t="s">
        <v>45</v>
      </c>
      <c r="I14" s="686">
        <v>1.1920928955078125E-7</v>
      </c>
      <c r="J14" s="448" t="s">
        <v>45</v>
      </c>
      <c r="K14" s="139"/>
      <c r="L14" s="154">
        <v>1.1920928955078125E-7</v>
      </c>
      <c r="M14" s="695"/>
      <c r="P14" s="789" t="s">
        <v>172</v>
      </c>
      <c r="Q14" s="686">
        <v>0</v>
      </c>
      <c r="R14" s="704">
        <v>0</v>
      </c>
      <c r="S14" s="695">
        <f t="shared" si="0"/>
        <v>0</v>
      </c>
    </row>
    <row r="15" spans="1:19" x14ac:dyDescent="0.3">
      <c r="A15" s="791" t="s">
        <v>173</v>
      </c>
      <c r="B15" s="648">
        <v>12037981.580000035</v>
      </c>
      <c r="C15" s="648" t="s">
        <v>45</v>
      </c>
      <c r="D15" s="325">
        <v>12392486.620000057</v>
      </c>
      <c r="E15" s="852" t="s">
        <v>45</v>
      </c>
      <c r="F15" s="155">
        <v>12392486.620000057</v>
      </c>
      <c r="G15" s="707" t="s">
        <v>45</v>
      </c>
      <c r="H15" s="852" t="s">
        <v>45</v>
      </c>
      <c r="I15" s="688">
        <v>11623311.919999991</v>
      </c>
      <c r="J15" s="648" t="s">
        <v>45</v>
      </c>
      <c r="K15" s="139"/>
      <c r="L15" s="155">
        <v>11623311.919999991</v>
      </c>
      <c r="M15" s="695"/>
      <c r="P15" s="791" t="s">
        <v>173</v>
      </c>
      <c r="Q15" s="688">
        <v>4680741.1999999676</v>
      </c>
      <c r="R15" s="707">
        <v>11200000.199999996</v>
      </c>
      <c r="S15" s="695">
        <f t="shared" si="0"/>
        <v>6519.2590000000282</v>
      </c>
    </row>
    <row r="16" spans="1:19" x14ac:dyDescent="0.3">
      <c r="A16" s="792" t="s">
        <v>174</v>
      </c>
      <c r="B16" s="853">
        <v>12037981.580000013</v>
      </c>
      <c r="C16" s="853" t="s">
        <v>45</v>
      </c>
      <c r="D16" s="645">
        <v>12404684.399999976</v>
      </c>
      <c r="E16" s="854" t="s">
        <v>45</v>
      </c>
      <c r="F16" s="646">
        <v>12404684.399999976</v>
      </c>
      <c r="G16" s="708" t="s">
        <v>45</v>
      </c>
      <c r="H16" s="854" t="s">
        <v>45</v>
      </c>
      <c r="I16" s="689">
        <v>11623311.919999838</v>
      </c>
      <c r="J16" s="853" t="s">
        <v>45</v>
      </c>
      <c r="K16" s="139"/>
      <c r="L16" s="646">
        <v>11623311.919999838</v>
      </c>
      <c r="M16" s="695"/>
      <c r="P16" s="792" t="s">
        <v>174</v>
      </c>
      <c r="Q16" s="689">
        <v>4680741.2000000477</v>
      </c>
      <c r="R16" s="708">
        <v>11200000.199999996</v>
      </c>
      <c r="S16" s="695">
        <f t="shared" si="0"/>
        <v>6519.2589999999482</v>
      </c>
    </row>
    <row r="17" spans="1:19" x14ac:dyDescent="0.3">
      <c r="A17" s="790" t="s">
        <v>175</v>
      </c>
      <c r="B17" s="649">
        <v>100311857.12000006</v>
      </c>
      <c r="C17" s="649" t="s">
        <v>45</v>
      </c>
      <c r="D17" s="324">
        <v>100678559.94</v>
      </c>
      <c r="E17" s="851" t="s">
        <v>45</v>
      </c>
      <c r="F17" s="159">
        <v>100678559.94</v>
      </c>
      <c r="G17" s="706" t="s">
        <v>45</v>
      </c>
      <c r="H17" s="851" t="s">
        <v>45</v>
      </c>
      <c r="I17" s="687">
        <v>105046840.08999994</v>
      </c>
      <c r="J17" s="649" t="s">
        <v>45</v>
      </c>
      <c r="K17" s="650"/>
      <c r="L17" s="159">
        <v>105046840.08999994</v>
      </c>
      <c r="M17" s="695"/>
      <c r="P17" s="790" t="s">
        <v>175</v>
      </c>
      <c r="Q17" s="687">
        <v>87607407.240000069</v>
      </c>
      <c r="R17" s="706">
        <v>92608381.560000047</v>
      </c>
      <c r="S17" s="695">
        <f t="shared" si="0"/>
        <v>5000.9743199999775</v>
      </c>
    </row>
    <row r="18" spans="1:19" x14ac:dyDescent="0.3">
      <c r="A18" s="789" t="s">
        <v>176</v>
      </c>
      <c r="B18" s="448">
        <v>0</v>
      </c>
      <c r="C18" s="448" t="s">
        <v>45</v>
      </c>
      <c r="D18" s="325">
        <v>0</v>
      </c>
      <c r="E18" s="850" t="s">
        <v>45</v>
      </c>
      <c r="F18" s="154">
        <v>0</v>
      </c>
      <c r="G18" s="704" t="s">
        <v>45</v>
      </c>
      <c r="H18" s="850" t="s">
        <v>45</v>
      </c>
      <c r="I18" s="686">
        <v>0</v>
      </c>
      <c r="J18" s="448" t="s">
        <v>45</v>
      </c>
      <c r="K18" s="139"/>
      <c r="L18" s="154">
        <v>0</v>
      </c>
      <c r="M18" s="695"/>
      <c r="P18" s="789" t="s">
        <v>176</v>
      </c>
      <c r="Q18" s="686">
        <v>0</v>
      </c>
      <c r="R18" s="704">
        <v>0</v>
      </c>
      <c r="S18" s="695">
        <f t="shared" si="0"/>
        <v>0</v>
      </c>
    </row>
    <row r="19" spans="1:19" x14ac:dyDescent="0.3">
      <c r="A19" s="791" t="s">
        <v>177</v>
      </c>
      <c r="B19" s="648">
        <v>0</v>
      </c>
      <c r="C19" s="648" t="s">
        <v>45</v>
      </c>
      <c r="D19" s="647">
        <v>0</v>
      </c>
      <c r="E19" s="852" t="s">
        <v>45</v>
      </c>
      <c r="F19" s="155">
        <v>0</v>
      </c>
      <c r="G19" s="707" t="s">
        <v>45</v>
      </c>
      <c r="H19" s="852" t="s">
        <v>45</v>
      </c>
      <c r="I19" s="688">
        <v>0</v>
      </c>
      <c r="J19" s="648" t="s">
        <v>45</v>
      </c>
      <c r="K19" s="139"/>
      <c r="L19" s="155">
        <v>0</v>
      </c>
      <c r="M19" s="695"/>
      <c r="P19" s="791" t="s">
        <v>177</v>
      </c>
      <c r="Q19" s="688">
        <v>0</v>
      </c>
      <c r="R19" s="707">
        <v>0</v>
      </c>
      <c r="S19" s="695">
        <f t="shared" si="0"/>
        <v>0</v>
      </c>
    </row>
    <row r="20" spans="1:19" x14ac:dyDescent="0.3">
      <c r="A20" s="790" t="s">
        <v>119</v>
      </c>
      <c r="B20" s="649">
        <v>0</v>
      </c>
      <c r="C20" s="649" t="s">
        <v>45</v>
      </c>
      <c r="D20" s="324">
        <v>0</v>
      </c>
      <c r="E20" s="851" t="s">
        <v>45</v>
      </c>
      <c r="F20" s="159">
        <v>0</v>
      </c>
      <c r="G20" s="706" t="s">
        <v>45</v>
      </c>
      <c r="H20" s="851" t="s">
        <v>45</v>
      </c>
      <c r="I20" s="687">
        <v>0</v>
      </c>
      <c r="J20" s="649" t="s">
        <v>45</v>
      </c>
      <c r="K20" s="139"/>
      <c r="L20" s="159">
        <v>0</v>
      </c>
      <c r="M20" s="695"/>
      <c r="P20" s="790" t="s">
        <v>119</v>
      </c>
      <c r="Q20" s="687">
        <v>0</v>
      </c>
      <c r="R20" s="706">
        <v>0</v>
      </c>
      <c r="S20" s="695">
        <f t="shared" si="0"/>
        <v>0</v>
      </c>
    </row>
    <row r="21" spans="1:19" x14ac:dyDescent="0.3">
      <c r="A21" s="789" t="s">
        <v>179</v>
      </c>
      <c r="B21" s="448">
        <v>41818110.899999999</v>
      </c>
      <c r="C21" s="448" t="s">
        <v>45</v>
      </c>
      <c r="D21" s="325">
        <v>41900963.399999999</v>
      </c>
      <c r="E21" s="850" t="s">
        <v>45</v>
      </c>
      <c r="F21" s="154">
        <v>41900963.399999999</v>
      </c>
      <c r="G21" s="709" t="s">
        <v>45</v>
      </c>
      <c r="H21" s="850" t="s">
        <v>45</v>
      </c>
      <c r="I21" s="696">
        <v>40354544.899999999</v>
      </c>
      <c r="J21" s="448" t="s">
        <v>45</v>
      </c>
      <c r="K21" s="139"/>
      <c r="L21" s="154">
        <v>40354544.899999999</v>
      </c>
      <c r="M21" s="695"/>
      <c r="P21" s="789" t="s">
        <v>179</v>
      </c>
      <c r="Q21" s="696">
        <v>27721264</v>
      </c>
      <c r="R21" s="709">
        <v>30366476.399999999</v>
      </c>
      <c r="S21" s="695">
        <f t="shared" si="0"/>
        <v>2645.2123999999985</v>
      </c>
    </row>
    <row r="22" spans="1:19" x14ac:dyDescent="0.3">
      <c r="A22" s="789" t="s">
        <v>532</v>
      </c>
      <c r="B22" s="448">
        <v>54315546.210000001</v>
      </c>
      <c r="C22" s="448" t="s">
        <v>45</v>
      </c>
      <c r="D22" s="325">
        <v>54315546.210000001</v>
      </c>
      <c r="E22" s="850" t="s">
        <v>45</v>
      </c>
      <c r="F22" s="154">
        <v>54315546.210000001</v>
      </c>
      <c r="G22" s="704" t="s">
        <v>45</v>
      </c>
      <c r="H22" s="850" t="s">
        <v>45</v>
      </c>
      <c r="I22" s="686">
        <v>65063840.18</v>
      </c>
      <c r="J22" s="448" t="s">
        <v>45</v>
      </c>
      <c r="K22" s="139"/>
      <c r="L22" s="154">
        <v>65063840.18</v>
      </c>
      <c r="M22" s="695"/>
      <c r="P22" s="789" t="s">
        <v>180</v>
      </c>
      <c r="Q22" s="686">
        <v>0</v>
      </c>
      <c r="R22" s="704">
        <v>0</v>
      </c>
      <c r="S22" s="695">
        <f t="shared" si="0"/>
        <v>0</v>
      </c>
    </row>
    <row r="23" spans="1:19" x14ac:dyDescent="0.3">
      <c r="A23" s="790" t="s">
        <v>6</v>
      </c>
      <c r="B23" s="649">
        <v>96133657.109999999</v>
      </c>
      <c r="C23" s="649" t="s">
        <v>45</v>
      </c>
      <c r="D23" s="324">
        <v>96216509.609999999</v>
      </c>
      <c r="E23" s="851" t="s">
        <v>45</v>
      </c>
      <c r="F23" s="159">
        <v>96216509.609999999</v>
      </c>
      <c r="G23" s="706" t="s">
        <v>45</v>
      </c>
      <c r="H23" s="851" t="s">
        <v>45</v>
      </c>
      <c r="I23" s="687">
        <v>105418385.08</v>
      </c>
      <c r="J23" s="649" t="s">
        <v>45</v>
      </c>
      <c r="K23" s="139"/>
      <c r="L23" s="159">
        <v>105418385.08</v>
      </c>
      <c r="M23" s="695"/>
      <c r="P23" s="790" t="s">
        <v>6</v>
      </c>
      <c r="Q23" s="687">
        <v>27721264</v>
      </c>
      <c r="R23" s="706">
        <v>30366476.399999999</v>
      </c>
      <c r="S23" s="695">
        <f t="shared" si="0"/>
        <v>2645.2123999999985</v>
      </c>
    </row>
    <row r="24" spans="1:19" s="142" customFormat="1" x14ac:dyDescent="0.3">
      <c r="A24" s="793" t="s">
        <v>178</v>
      </c>
      <c r="B24" s="855">
        <v>310016471.60000169</v>
      </c>
      <c r="C24" s="855" t="s">
        <v>45</v>
      </c>
      <c r="D24" s="326">
        <v>253324773.35000166</v>
      </c>
      <c r="E24" s="856" t="s">
        <v>45</v>
      </c>
      <c r="F24" s="160">
        <v>253324773.35000166</v>
      </c>
      <c r="G24" s="706" t="s">
        <v>45</v>
      </c>
      <c r="H24" s="856" t="s">
        <v>45</v>
      </c>
      <c r="I24" s="687">
        <v>281186539.56000215</v>
      </c>
      <c r="J24" s="855" t="s">
        <v>45</v>
      </c>
      <c r="K24" s="140"/>
      <c r="L24" s="160">
        <v>281186539.56000215</v>
      </c>
      <c r="M24" s="695"/>
      <c r="P24" s="793" t="s">
        <v>178</v>
      </c>
      <c r="Q24" s="687">
        <v>142712216.41000003</v>
      </c>
      <c r="R24" s="706">
        <v>144563034.9430396</v>
      </c>
      <c r="S24" s="695">
        <f t="shared" si="0"/>
        <v>1850.81853303957</v>
      </c>
    </row>
    <row r="25" spans="1:19" x14ac:dyDescent="0.3">
      <c r="A25" s="794" t="s">
        <v>91</v>
      </c>
      <c r="B25" s="421">
        <v>-120000000</v>
      </c>
      <c r="C25" s="421" t="s">
        <v>45</v>
      </c>
      <c r="D25" s="330">
        <v>-120000000</v>
      </c>
      <c r="E25" s="420" t="s">
        <v>45</v>
      </c>
      <c r="F25" s="153">
        <v>-120000000</v>
      </c>
      <c r="G25" s="704" t="s">
        <v>45</v>
      </c>
      <c r="H25" s="420" t="s">
        <v>45</v>
      </c>
      <c r="I25" s="686">
        <v>-90000000</v>
      </c>
      <c r="J25" s="421" t="s">
        <v>45</v>
      </c>
      <c r="K25" s="139"/>
      <c r="L25" s="153">
        <v>-90000000</v>
      </c>
      <c r="M25" s="695"/>
      <c r="P25" s="794" t="s">
        <v>91</v>
      </c>
      <c r="Q25" s="686">
        <v>-78200000</v>
      </c>
      <c r="R25" s="704">
        <v>-78200000</v>
      </c>
      <c r="S25" s="695">
        <f t="shared" si="0"/>
        <v>0</v>
      </c>
    </row>
    <row r="26" spans="1:19" x14ac:dyDescent="0.3">
      <c r="A26" s="794" t="s">
        <v>181</v>
      </c>
      <c r="B26" s="421">
        <v>-34339433.079999998</v>
      </c>
      <c r="C26" s="421" t="s">
        <v>45</v>
      </c>
      <c r="D26" s="330">
        <v>-30516049.479999997</v>
      </c>
      <c r="E26" s="420" t="s">
        <v>45</v>
      </c>
      <c r="F26" s="153">
        <v>-30516049.479999997</v>
      </c>
      <c r="G26" s="704" t="s">
        <v>45</v>
      </c>
      <c r="H26" s="420" t="s">
        <v>45</v>
      </c>
      <c r="I26" s="686">
        <v>-30373409.620000001</v>
      </c>
      <c r="J26" s="421" t="s">
        <v>45</v>
      </c>
      <c r="K26" s="139"/>
      <c r="L26" s="153">
        <v>-30373409.620000001</v>
      </c>
      <c r="M26" s="695"/>
      <c r="P26" s="794" t="s">
        <v>181</v>
      </c>
      <c r="Q26" s="686">
        <v>-13688335.93</v>
      </c>
      <c r="R26" s="704">
        <v>-41479734.476800404</v>
      </c>
      <c r="S26" s="695">
        <f t="shared" si="0"/>
        <v>-27791.398546800403</v>
      </c>
    </row>
    <row r="27" spans="1:19" s="310" customFormat="1" x14ac:dyDescent="0.3">
      <c r="A27" s="795" t="s">
        <v>88</v>
      </c>
      <c r="B27" s="857">
        <v>-12551321.65</v>
      </c>
      <c r="C27" s="857" t="s">
        <v>45</v>
      </c>
      <c r="D27" s="653">
        <v>-12551321.65</v>
      </c>
      <c r="E27" s="858" t="s">
        <v>45</v>
      </c>
      <c r="F27" s="308">
        <v>-12551321.65</v>
      </c>
      <c r="G27" s="710" t="s">
        <v>45</v>
      </c>
      <c r="H27" s="858" t="s">
        <v>45</v>
      </c>
      <c r="I27" s="690">
        <v>-12551321.65</v>
      </c>
      <c r="J27" s="857" t="s">
        <v>45</v>
      </c>
      <c r="K27" s="309"/>
      <c r="L27" s="308">
        <v>-12551321.65</v>
      </c>
      <c r="M27" s="695"/>
      <c r="N27" s="830"/>
      <c r="P27" s="795" t="s">
        <v>88</v>
      </c>
      <c r="Q27" s="690">
        <v>-13106912.26</v>
      </c>
      <c r="R27" s="710">
        <v>-20771897.306800403</v>
      </c>
      <c r="S27" s="695">
        <f t="shared" si="0"/>
        <v>-7664.9850468004033</v>
      </c>
    </row>
    <row r="28" spans="1:19" x14ac:dyDescent="0.3">
      <c r="A28" s="794" t="s">
        <v>182</v>
      </c>
      <c r="B28" s="421">
        <v>-6188776.4100000178</v>
      </c>
      <c r="C28" s="421" t="s">
        <v>45</v>
      </c>
      <c r="D28" s="784">
        <v>-6754375.1100000096</v>
      </c>
      <c r="E28" s="420" t="s">
        <v>45</v>
      </c>
      <c r="F28" s="420">
        <v>-6754375.1100000096</v>
      </c>
      <c r="G28" s="704" t="s">
        <v>45</v>
      </c>
      <c r="H28" s="420" t="s">
        <v>45</v>
      </c>
      <c r="I28" s="692">
        <v>-2981541.4999999786</v>
      </c>
      <c r="J28" s="421" t="s">
        <v>45</v>
      </c>
      <c r="K28" s="442"/>
      <c r="L28" s="420">
        <v>-2981541.4999999786</v>
      </c>
      <c r="M28" s="695"/>
      <c r="P28" s="794" t="s">
        <v>182</v>
      </c>
      <c r="Q28" s="692">
        <v>-3214988.9699999997</v>
      </c>
      <c r="R28" s="704" t="s">
        <v>45</v>
      </c>
      <c r="S28" s="695">
        <f t="shared" si="0"/>
        <v>3214.9889699999999</v>
      </c>
    </row>
    <row r="29" spans="1:19" x14ac:dyDescent="0.3">
      <c r="A29" s="794" t="s">
        <v>183</v>
      </c>
      <c r="B29" s="421">
        <v>-1518705.5700000005</v>
      </c>
      <c r="C29" s="421" t="s">
        <v>45</v>
      </c>
      <c r="D29" s="784">
        <v>-1127937.5400000005</v>
      </c>
      <c r="E29" s="420" t="s">
        <v>45</v>
      </c>
      <c r="F29" s="420">
        <v>-1127937.5400000005</v>
      </c>
      <c r="G29" s="704" t="s">
        <v>45</v>
      </c>
      <c r="H29" s="420" t="s">
        <v>45</v>
      </c>
      <c r="I29" s="692">
        <v>-1203150.7599999991</v>
      </c>
      <c r="J29" s="421" t="s">
        <v>45</v>
      </c>
      <c r="K29" s="442"/>
      <c r="L29" s="420">
        <v>-1203150.7599999991</v>
      </c>
      <c r="M29" s="695"/>
      <c r="P29" s="794" t="s">
        <v>183</v>
      </c>
      <c r="Q29" s="692">
        <v>-603284.03</v>
      </c>
      <c r="R29" s="704" t="s">
        <v>45</v>
      </c>
      <c r="S29" s="695">
        <f t="shared" si="0"/>
        <v>603.28403000000003</v>
      </c>
    </row>
    <row r="30" spans="1:19" x14ac:dyDescent="0.3">
      <c r="A30" s="794" t="s">
        <v>184</v>
      </c>
      <c r="B30" s="421">
        <v>-9836155.1099999864</v>
      </c>
      <c r="C30" s="421" t="s">
        <v>45</v>
      </c>
      <c r="D30" s="784">
        <v>-4093521.3399999817</v>
      </c>
      <c r="E30" s="420" t="s">
        <v>45</v>
      </c>
      <c r="F30" s="420">
        <v>-4093521.3399999817</v>
      </c>
      <c r="G30" s="704" t="s">
        <v>45</v>
      </c>
      <c r="H30" s="420" t="s">
        <v>45</v>
      </c>
      <c r="I30" s="692">
        <v>-16954503.720000006</v>
      </c>
      <c r="J30" s="421" t="s">
        <v>45</v>
      </c>
      <c r="K30" s="442"/>
      <c r="L30" s="420">
        <v>-16954503.720000006</v>
      </c>
      <c r="M30" s="695"/>
      <c r="P30" s="794" t="s">
        <v>184</v>
      </c>
      <c r="Q30" s="692">
        <v>-16908140.5</v>
      </c>
      <c r="R30" s="704" t="s">
        <v>45</v>
      </c>
      <c r="S30" s="695">
        <f t="shared" si="0"/>
        <v>16908.140500000001</v>
      </c>
    </row>
    <row r="31" spans="1:19" x14ac:dyDescent="0.3">
      <c r="A31" s="794" t="s">
        <v>92</v>
      </c>
      <c r="B31" s="421">
        <v>0</v>
      </c>
      <c r="C31" s="421" t="s">
        <v>45</v>
      </c>
      <c r="D31" s="330">
        <v>0</v>
      </c>
      <c r="E31" s="420" t="s">
        <v>45</v>
      </c>
      <c r="F31" s="153">
        <v>0</v>
      </c>
      <c r="G31" s="704" t="s">
        <v>45</v>
      </c>
      <c r="H31" s="420" t="s">
        <v>45</v>
      </c>
      <c r="I31" s="686">
        <v>0</v>
      </c>
      <c r="J31" s="421" t="s">
        <v>45</v>
      </c>
      <c r="K31" s="139"/>
      <c r="L31" s="153">
        <v>0</v>
      </c>
      <c r="M31" s="695"/>
      <c r="P31" s="794" t="s">
        <v>92</v>
      </c>
      <c r="Q31" s="686">
        <v>-55000000</v>
      </c>
      <c r="R31" s="704">
        <v>-45000000</v>
      </c>
      <c r="S31" s="695">
        <f t="shared" si="0"/>
        <v>10000</v>
      </c>
    </row>
    <row r="32" spans="1:19" x14ac:dyDescent="0.3">
      <c r="A32" s="794" t="s">
        <v>91</v>
      </c>
      <c r="B32" s="421">
        <v>-120000000</v>
      </c>
      <c r="C32" s="421" t="s">
        <v>45</v>
      </c>
      <c r="D32" s="885">
        <v>-120000000</v>
      </c>
      <c r="E32" s="420" t="s">
        <v>45</v>
      </c>
      <c r="F32" s="153">
        <v>-120000000</v>
      </c>
      <c r="G32" s="704" t="s">
        <v>45</v>
      </c>
      <c r="H32" s="420" t="s">
        <v>45</v>
      </c>
      <c r="I32" s="686">
        <v>-90000000</v>
      </c>
      <c r="J32" s="421" t="s">
        <v>45</v>
      </c>
      <c r="K32" s="139"/>
      <c r="L32" s="153">
        <v>-90000000</v>
      </c>
      <c r="M32" s="695"/>
      <c r="P32" s="794" t="s">
        <v>91</v>
      </c>
      <c r="Q32" s="686">
        <v>-78200000</v>
      </c>
      <c r="R32" s="704">
        <v>-78200000</v>
      </c>
      <c r="S32" s="695">
        <f t="shared" si="0"/>
        <v>0</v>
      </c>
    </row>
    <row r="33" spans="1:19" x14ac:dyDescent="0.3">
      <c r="A33" s="794" t="s">
        <v>93</v>
      </c>
      <c r="B33" s="421">
        <v>0</v>
      </c>
      <c r="C33" s="421" t="s">
        <v>45</v>
      </c>
      <c r="D33" s="330">
        <v>0</v>
      </c>
      <c r="E33" s="420" t="s">
        <v>45</v>
      </c>
      <c r="F33" s="153">
        <v>0</v>
      </c>
      <c r="G33" s="704" t="s">
        <v>45</v>
      </c>
      <c r="H33" s="420" t="s">
        <v>45</v>
      </c>
      <c r="I33" s="686">
        <v>0</v>
      </c>
      <c r="J33" s="421" t="s">
        <v>45</v>
      </c>
      <c r="K33" s="139"/>
      <c r="L33" s="153">
        <v>0</v>
      </c>
      <c r="M33" s="695"/>
      <c r="P33" s="794" t="s">
        <v>93</v>
      </c>
      <c r="Q33" s="686">
        <v>0</v>
      </c>
      <c r="R33" s="704">
        <v>0</v>
      </c>
      <c r="S33" s="695">
        <f t="shared" si="0"/>
        <v>0</v>
      </c>
    </row>
    <row r="34" spans="1:19" x14ac:dyDescent="0.3">
      <c r="A34" s="794" t="s">
        <v>185</v>
      </c>
      <c r="B34" s="421">
        <v>-185377.05000000005</v>
      </c>
      <c r="C34" s="421" t="s">
        <v>45</v>
      </c>
      <c r="D34" s="330">
        <v>-185377.05000000005</v>
      </c>
      <c r="E34" s="420" t="s">
        <v>45</v>
      </c>
      <c r="F34" s="153">
        <v>-185377.05000000005</v>
      </c>
      <c r="G34" s="704" t="s">
        <v>45</v>
      </c>
      <c r="H34" s="420" t="s">
        <v>45</v>
      </c>
      <c r="I34" s="686">
        <v>-315577.05000000005</v>
      </c>
      <c r="J34" s="421" t="s">
        <v>45</v>
      </c>
      <c r="K34" s="139"/>
      <c r="L34" s="153">
        <v>-315577.05000000005</v>
      </c>
      <c r="M34" s="695"/>
      <c r="P34" s="794" t="s">
        <v>185</v>
      </c>
      <c r="Q34" s="686">
        <v>-346347.70000000013</v>
      </c>
      <c r="R34" s="704">
        <v>-276139.99999999977</v>
      </c>
      <c r="S34" s="695">
        <f t="shared" si="0"/>
        <v>70.207700000000358</v>
      </c>
    </row>
    <row r="35" spans="1:19" x14ac:dyDescent="0.3">
      <c r="A35" s="794" t="s">
        <v>186</v>
      </c>
      <c r="B35" s="421">
        <v>-2.328304216092647E-12</v>
      </c>
      <c r="C35" s="421" t="s">
        <v>45</v>
      </c>
      <c r="D35" s="784">
        <v>-2.328304216092647E-12</v>
      </c>
      <c r="E35" s="420" t="s">
        <v>45</v>
      </c>
      <c r="F35" s="420">
        <v>-2.328304216092647E-12</v>
      </c>
      <c r="G35" s="704" t="s">
        <v>45</v>
      </c>
      <c r="H35" s="420" t="s">
        <v>45</v>
      </c>
      <c r="I35" s="692">
        <v>-2.328304216092647E-12</v>
      </c>
      <c r="J35" s="421" t="s">
        <v>45</v>
      </c>
      <c r="K35" s="442"/>
      <c r="L35" s="420">
        <v>-2.328304216092647E-12</v>
      </c>
      <c r="M35" s="695"/>
      <c r="P35" s="794" t="s">
        <v>186</v>
      </c>
      <c r="Q35" s="692">
        <v>0</v>
      </c>
      <c r="R35" s="704" t="s">
        <v>45</v>
      </c>
      <c r="S35" s="695">
        <f t="shared" si="0"/>
        <v>0</v>
      </c>
    </row>
    <row r="36" spans="1:19" x14ac:dyDescent="0.3">
      <c r="A36" s="796" t="s">
        <v>7</v>
      </c>
      <c r="B36" s="859">
        <v>-52068447.219999999</v>
      </c>
      <c r="C36" s="859" t="s">
        <v>45</v>
      </c>
      <c r="D36" s="332">
        <v>113487.46999997832</v>
      </c>
      <c r="E36" s="860" t="s">
        <v>45</v>
      </c>
      <c r="F36" s="158">
        <v>113487.46999997832</v>
      </c>
      <c r="G36" s="706" t="s">
        <v>45</v>
      </c>
      <c r="H36" s="860" t="s">
        <v>45</v>
      </c>
      <c r="I36" s="687">
        <v>-51828182.65000008</v>
      </c>
      <c r="J36" s="859" t="s">
        <v>45</v>
      </c>
      <c r="K36" s="139"/>
      <c r="L36" s="158">
        <v>-51828182.65000008</v>
      </c>
      <c r="M36" s="695"/>
      <c r="P36" s="796" t="s">
        <v>7</v>
      </c>
      <c r="Q36" s="687">
        <v>-89761097.13000001</v>
      </c>
      <c r="R36" s="706">
        <v>-86755874.476800412</v>
      </c>
      <c r="S36" s="695">
        <f t="shared" si="0"/>
        <v>3005.222653199598</v>
      </c>
    </row>
    <row r="37" spans="1:19" x14ac:dyDescent="0.3">
      <c r="A37" s="794" t="s">
        <v>187</v>
      </c>
      <c r="B37" s="421">
        <v>-30063728.109999977</v>
      </c>
      <c r="C37" s="421" t="s">
        <v>45</v>
      </c>
      <c r="D37" s="330">
        <v>-30512940.190000001</v>
      </c>
      <c r="E37" s="420" t="s">
        <v>45</v>
      </c>
      <c r="F37" s="153">
        <v>-30512940.190000001</v>
      </c>
      <c r="G37" s="704" t="s">
        <v>45</v>
      </c>
      <c r="H37" s="420" t="s">
        <v>45</v>
      </c>
      <c r="I37" s="686">
        <v>-34620338.669999987</v>
      </c>
      <c r="J37" s="421" t="s">
        <v>45</v>
      </c>
      <c r="K37" s="406"/>
      <c r="L37" s="153">
        <v>-34620338.669999987</v>
      </c>
      <c r="M37" s="695"/>
      <c r="P37" s="794" t="s">
        <v>187</v>
      </c>
      <c r="Q37" s="686">
        <v>-41600467.960000001</v>
      </c>
      <c r="R37" s="704">
        <v>-35612468.4359423</v>
      </c>
      <c r="S37" s="695">
        <f t="shared" si="0"/>
        <v>5987.9995240577009</v>
      </c>
    </row>
    <row r="38" spans="1:19" x14ac:dyDescent="0.3">
      <c r="A38" s="794" t="s">
        <v>188</v>
      </c>
      <c r="B38" s="421">
        <v>-92939886.129999995</v>
      </c>
      <c r="C38" s="421" t="s">
        <v>45</v>
      </c>
      <c r="D38" s="330">
        <v>-93541782.479999974</v>
      </c>
      <c r="E38" s="420" t="s">
        <v>45</v>
      </c>
      <c r="F38" s="153">
        <v>-93541782.479999974</v>
      </c>
      <c r="G38" s="704" t="s">
        <v>45</v>
      </c>
      <c r="H38" s="420" t="s">
        <v>45</v>
      </c>
      <c r="I38" s="686">
        <v>-90251320.049999982</v>
      </c>
      <c r="J38" s="421" t="s">
        <v>45</v>
      </c>
      <c r="K38" s="406"/>
      <c r="L38" s="153">
        <v>-90251320.049999982</v>
      </c>
      <c r="M38" s="695"/>
      <c r="P38" s="794" t="s">
        <v>188</v>
      </c>
      <c r="Q38" s="686">
        <v>-69254788.890000015</v>
      </c>
      <c r="R38" s="704">
        <v>-74198788.890000001</v>
      </c>
      <c r="S38" s="695">
        <f t="shared" si="0"/>
        <v>-4943.9999999999854</v>
      </c>
    </row>
    <row r="39" spans="1:19" x14ac:dyDescent="0.3">
      <c r="A39" s="796" t="s">
        <v>189</v>
      </c>
      <c r="B39" s="859">
        <v>-243003614.24000001</v>
      </c>
      <c r="C39" s="859" t="s">
        <v>45</v>
      </c>
      <c r="D39" s="332">
        <v>-244054722.67000002</v>
      </c>
      <c r="E39" s="860" t="s">
        <v>45</v>
      </c>
      <c r="F39" s="158">
        <v>-244054722.67000002</v>
      </c>
      <c r="G39" s="706" t="s">
        <v>45</v>
      </c>
      <c r="H39" s="860" t="s">
        <v>45</v>
      </c>
      <c r="I39" s="687">
        <v>-214871658.72000006</v>
      </c>
      <c r="J39" s="859" t="s">
        <v>45</v>
      </c>
      <c r="K39" s="139"/>
      <c r="L39" s="158">
        <v>-214871658.72000006</v>
      </c>
      <c r="M39" s="695"/>
      <c r="P39" s="796" t="s">
        <v>189</v>
      </c>
      <c r="Q39" s="687">
        <v>-189055256.84999999</v>
      </c>
      <c r="R39" s="706">
        <v>-188011257.32594228</v>
      </c>
      <c r="S39" s="695">
        <f t="shared" si="0"/>
        <v>1043.9995240577161</v>
      </c>
    </row>
    <row r="40" spans="1:19" x14ac:dyDescent="0.3">
      <c r="A40" s="797" t="s">
        <v>190</v>
      </c>
      <c r="B40" s="861">
        <v>-295072061.45999998</v>
      </c>
      <c r="C40" s="861" t="s">
        <v>45</v>
      </c>
      <c r="D40" s="651">
        <v>-243941235.20000005</v>
      </c>
      <c r="E40" s="862" t="s">
        <v>45</v>
      </c>
      <c r="F40" s="652">
        <v>-243941235.20000005</v>
      </c>
      <c r="G40" s="706" t="s">
        <v>45</v>
      </c>
      <c r="H40" s="862" t="s">
        <v>45</v>
      </c>
      <c r="I40" s="687">
        <v>-266699841.36999995</v>
      </c>
      <c r="J40" s="861" t="s">
        <v>45</v>
      </c>
      <c r="K40" s="139"/>
      <c r="L40" s="652">
        <v>-266699841.36999995</v>
      </c>
      <c r="M40" s="695"/>
      <c r="P40" s="797" t="s">
        <v>190</v>
      </c>
      <c r="Q40" s="687">
        <v>-278816353.98000002</v>
      </c>
      <c r="R40" s="706">
        <v>-274767131.80274272</v>
      </c>
      <c r="S40" s="695">
        <f t="shared" si="0"/>
        <v>4049.2221772572993</v>
      </c>
    </row>
    <row r="41" spans="1:19" x14ac:dyDescent="0.3">
      <c r="A41" s="798" t="s">
        <v>192</v>
      </c>
      <c r="B41" s="658">
        <v>4.6566128730773926E-10</v>
      </c>
      <c r="C41" s="658" t="s">
        <v>45</v>
      </c>
      <c r="D41" s="655">
        <v>4.6566128730773926E-10</v>
      </c>
      <c r="E41" s="657" t="s">
        <v>45</v>
      </c>
      <c r="F41" s="656">
        <v>4.6566128730773926E-10</v>
      </c>
      <c r="G41" s="704" t="s">
        <v>45</v>
      </c>
      <c r="H41" s="940" t="s">
        <v>45</v>
      </c>
      <c r="I41" s="686">
        <v>3.7252902984619141E-9</v>
      </c>
      <c r="J41" s="658" t="s">
        <v>45</v>
      </c>
      <c r="K41" s="139"/>
      <c r="L41" s="656">
        <v>3.7252902984619141E-9</v>
      </c>
      <c r="M41" s="695"/>
      <c r="P41" s="798" t="s">
        <v>192</v>
      </c>
      <c r="Q41" s="686">
        <v>82358979.689999998</v>
      </c>
      <c r="R41" s="704">
        <v>79519944.049470514</v>
      </c>
      <c r="S41" s="695">
        <f t="shared" si="0"/>
        <v>-2839.0356405294838</v>
      </c>
    </row>
    <row r="42" spans="1:19" x14ac:dyDescent="0.3">
      <c r="A42" s="989" t="s">
        <v>193</v>
      </c>
      <c r="B42" s="658">
        <v>-652472.90999999992</v>
      </c>
      <c r="C42" s="658" t="s">
        <v>45</v>
      </c>
      <c r="D42" s="655">
        <v>-652472.90999999992</v>
      </c>
      <c r="E42" s="657" t="s">
        <v>45</v>
      </c>
      <c r="F42" s="656">
        <v>-652472.90999999992</v>
      </c>
      <c r="G42" s="968" t="s">
        <v>45</v>
      </c>
      <c r="H42" s="940" t="s">
        <v>45</v>
      </c>
      <c r="I42" s="686">
        <v>-725598.73</v>
      </c>
      <c r="J42" s="658" t="s">
        <v>45</v>
      </c>
      <c r="K42" s="139"/>
      <c r="L42" s="656">
        <v>-725598.73</v>
      </c>
      <c r="M42" s="695"/>
      <c r="P42" s="798" t="s">
        <v>193</v>
      </c>
      <c r="Q42" s="686">
        <v>-1371842.12</v>
      </c>
      <c r="R42" s="908">
        <v>-3878698.26</v>
      </c>
      <c r="S42" s="695">
        <f t="shared" si="0"/>
        <v>-2506.8561399999999</v>
      </c>
    </row>
    <row r="43" spans="1:19" x14ac:dyDescent="0.3">
      <c r="A43" s="799" t="s">
        <v>234</v>
      </c>
      <c r="B43" s="863">
        <v>-5.2154058849396279E-10</v>
      </c>
      <c r="C43" s="863" t="s">
        <v>45</v>
      </c>
      <c r="D43" s="660">
        <v>-5.2154058849396279E-10</v>
      </c>
      <c r="E43" s="864" t="s">
        <v>45</v>
      </c>
      <c r="F43" s="163">
        <v>-5.2154058849396279E-10</v>
      </c>
      <c r="G43" s="711" t="s">
        <v>45</v>
      </c>
      <c r="H43" s="424" t="s">
        <v>45</v>
      </c>
      <c r="I43" s="691">
        <v>1.3411045607369942E-9</v>
      </c>
      <c r="J43" s="863" t="s">
        <v>45</v>
      </c>
      <c r="K43" s="139"/>
      <c r="L43" s="661">
        <v>1.3411045607369942E-9</v>
      </c>
      <c r="M43" s="695"/>
      <c r="P43" s="799" t="s">
        <v>234</v>
      </c>
      <c r="Q43" s="691">
        <v>60116999.999999985</v>
      </c>
      <c r="R43" s="711">
        <v>60117000</v>
      </c>
      <c r="S43" s="695">
        <f t="shared" si="0"/>
        <v>1.4901161193847657E-11</v>
      </c>
    </row>
    <row r="44" spans="1:19" x14ac:dyDescent="0.3">
      <c r="A44" s="798" t="s">
        <v>194</v>
      </c>
      <c r="B44" s="658" t="s">
        <v>45</v>
      </c>
      <c r="C44" s="658" t="s">
        <v>45</v>
      </c>
      <c r="D44" s="659" t="s">
        <v>45</v>
      </c>
      <c r="E44" s="657" t="s">
        <v>45</v>
      </c>
      <c r="F44" s="657" t="s">
        <v>45</v>
      </c>
      <c r="G44" s="704" t="s">
        <v>45</v>
      </c>
      <c r="H44" s="940" t="s">
        <v>45</v>
      </c>
      <c r="I44" s="692" t="s">
        <v>45</v>
      </c>
      <c r="J44" s="658" t="s">
        <v>45</v>
      </c>
      <c r="K44" s="139"/>
      <c r="L44" s="657" t="s">
        <v>45</v>
      </c>
      <c r="M44" s="695"/>
      <c r="P44" s="798" t="s">
        <v>194</v>
      </c>
      <c r="Q44" s="692" t="s">
        <v>45</v>
      </c>
      <c r="R44" s="709">
        <v>4047851.070232667</v>
      </c>
      <c r="S44" s="695">
        <f t="shared" si="0"/>
        <v>4047.8510702326671</v>
      </c>
    </row>
    <row r="45" spans="1:19" x14ac:dyDescent="0.3">
      <c r="A45" s="798" t="s">
        <v>195</v>
      </c>
      <c r="B45" s="658">
        <v>0</v>
      </c>
      <c r="C45" s="658" t="s">
        <v>45</v>
      </c>
      <c r="D45" s="659">
        <v>0</v>
      </c>
      <c r="E45" s="657" t="s">
        <v>45</v>
      </c>
      <c r="F45" s="657">
        <v>0</v>
      </c>
      <c r="G45" s="704" t="s">
        <v>45</v>
      </c>
      <c r="H45" s="940" t="s">
        <v>45</v>
      </c>
      <c r="I45" s="692">
        <v>0</v>
      </c>
      <c r="J45" s="658" t="s">
        <v>45</v>
      </c>
      <c r="K45" s="139"/>
      <c r="L45" s="657">
        <v>0</v>
      </c>
      <c r="M45" s="695"/>
      <c r="P45" s="798"/>
      <c r="Q45" s="692"/>
      <c r="R45" s="709"/>
      <c r="S45" s="695"/>
    </row>
    <row r="46" spans="1:19" x14ac:dyDescent="0.3">
      <c r="A46" s="798" t="s">
        <v>196</v>
      </c>
      <c r="B46" s="658">
        <v>0</v>
      </c>
      <c r="C46" s="658" t="s">
        <v>45</v>
      </c>
      <c r="D46" s="659">
        <v>0</v>
      </c>
      <c r="E46" s="657" t="s">
        <v>45</v>
      </c>
      <c r="F46" s="657">
        <v>0</v>
      </c>
      <c r="G46" s="704" t="s">
        <v>45</v>
      </c>
      <c r="H46" s="940" t="s">
        <v>45</v>
      </c>
      <c r="I46" s="692">
        <v>0</v>
      </c>
      <c r="J46" s="658" t="s">
        <v>45</v>
      </c>
      <c r="K46" s="442"/>
      <c r="L46" s="657">
        <v>0</v>
      </c>
      <c r="M46" s="695"/>
      <c r="P46" s="798" t="s">
        <v>195</v>
      </c>
      <c r="Q46" s="692">
        <v>0</v>
      </c>
      <c r="R46" s="704" t="s">
        <v>45</v>
      </c>
      <c r="S46" s="695">
        <f t="shared" ref="S46:S52" si="1">(R46-Q46)/1000</f>
        <v>0</v>
      </c>
    </row>
    <row r="47" spans="1:19" x14ac:dyDescent="0.3">
      <c r="A47" s="798" t="s">
        <v>466</v>
      </c>
      <c r="B47" s="658">
        <v>0</v>
      </c>
      <c r="C47" s="658" t="s">
        <v>45</v>
      </c>
      <c r="D47" s="659">
        <v>0</v>
      </c>
      <c r="E47" s="657" t="s">
        <v>45</v>
      </c>
      <c r="F47" s="657">
        <v>0</v>
      </c>
      <c r="G47" s="704" t="s">
        <v>45</v>
      </c>
      <c r="H47" s="657" t="s">
        <v>45</v>
      </c>
      <c r="I47" s="692">
        <v>0</v>
      </c>
      <c r="J47" s="658" t="s">
        <v>45</v>
      </c>
      <c r="K47" s="442"/>
      <c r="L47" s="657">
        <v>0</v>
      </c>
      <c r="M47" s="695"/>
      <c r="P47" s="798" t="s">
        <v>196</v>
      </c>
      <c r="Q47" s="692">
        <v>0</v>
      </c>
      <c r="R47" s="704" t="s">
        <v>45</v>
      </c>
      <c r="S47" s="695">
        <f t="shared" si="1"/>
        <v>0</v>
      </c>
    </row>
    <row r="48" spans="1:19" x14ac:dyDescent="0.3">
      <c r="A48" s="800" t="s">
        <v>191</v>
      </c>
      <c r="B48" s="865">
        <v>-14944410.140000001</v>
      </c>
      <c r="C48" s="865" t="s">
        <v>45</v>
      </c>
      <c r="D48" s="329">
        <v>-9383538.1500000004</v>
      </c>
      <c r="E48" s="866" t="s">
        <v>45</v>
      </c>
      <c r="F48" s="654">
        <v>-9383538.1500000004</v>
      </c>
      <c r="G48" s="712" t="s">
        <v>45</v>
      </c>
      <c r="H48" s="866" t="s">
        <v>45</v>
      </c>
      <c r="I48" s="693">
        <v>-14486698.189999973</v>
      </c>
      <c r="J48" s="865" t="s">
        <v>45</v>
      </c>
      <c r="K48" s="139"/>
      <c r="L48" s="654">
        <v>-14486698.189999973</v>
      </c>
      <c r="M48" s="695"/>
      <c r="P48" s="800" t="s">
        <v>191</v>
      </c>
      <c r="Q48" s="693">
        <v>136104137.56999999</v>
      </c>
      <c r="R48" s="712">
        <v>130204096.85970314</v>
      </c>
      <c r="S48" s="695">
        <f t="shared" si="1"/>
        <v>-5900.0407102968547</v>
      </c>
    </row>
    <row r="49" spans="1:19" x14ac:dyDescent="0.3">
      <c r="A49" s="801" t="s">
        <v>197</v>
      </c>
      <c r="B49" s="867">
        <v>-310016471.60000002</v>
      </c>
      <c r="C49" s="867" t="s">
        <v>45</v>
      </c>
      <c r="D49" s="327">
        <v>-253324773.35000008</v>
      </c>
      <c r="E49" s="868" t="s">
        <v>45</v>
      </c>
      <c r="F49" s="161">
        <v>-253324773.35000008</v>
      </c>
      <c r="G49" s="706" t="s">
        <v>45</v>
      </c>
      <c r="H49" s="868" t="s">
        <v>45</v>
      </c>
      <c r="I49" s="687">
        <v>-281186539.56</v>
      </c>
      <c r="J49" s="867" t="s">
        <v>45</v>
      </c>
      <c r="L49" s="161">
        <v>-281186539.56</v>
      </c>
      <c r="M49" s="695">
        <f>D49-L49</f>
        <v>27861766.209999919</v>
      </c>
      <c r="P49" s="801" t="s">
        <v>197</v>
      </c>
      <c r="Q49" s="687">
        <v>-142712216.41</v>
      </c>
      <c r="R49" s="706">
        <v>-144563034.94303957</v>
      </c>
      <c r="S49" s="695">
        <f t="shared" si="1"/>
        <v>-1850.81853303957</v>
      </c>
    </row>
    <row r="50" spans="1:19" x14ac:dyDescent="0.3">
      <c r="A50" s="802"/>
      <c r="B50" s="777"/>
      <c r="C50" s="777"/>
      <c r="D50" s="778"/>
      <c r="E50" s="779"/>
      <c r="F50" s="779"/>
      <c r="G50" s="780"/>
      <c r="H50" s="779"/>
      <c r="I50" s="779"/>
      <c r="J50" s="777"/>
      <c r="L50" s="779"/>
      <c r="M50" s="695">
        <f>D50-L50</f>
        <v>0</v>
      </c>
      <c r="P50" s="802"/>
      <c r="Q50" s="779"/>
      <c r="R50" s="780"/>
      <c r="S50" s="695">
        <f t="shared" si="1"/>
        <v>0</v>
      </c>
    </row>
    <row r="51" spans="1:19" x14ac:dyDescent="0.3">
      <c r="A51" s="803" t="s">
        <v>385</v>
      </c>
      <c r="B51" s="782">
        <v>0</v>
      </c>
      <c r="C51" s="782">
        <v>0</v>
      </c>
      <c r="D51" s="1152">
        <v>0</v>
      </c>
      <c r="E51" s="782">
        <v>0</v>
      </c>
      <c r="F51" s="782">
        <v>0</v>
      </c>
      <c r="G51" s="782">
        <v>0</v>
      </c>
      <c r="H51" s="782">
        <v>0</v>
      </c>
      <c r="I51" s="782">
        <v>0</v>
      </c>
      <c r="J51" s="782">
        <v>0</v>
      </c>
      <c r="K51" s="785"/>
      <c r="L51" s="783">
        <v>0</v>
      </c>
      <c r="M51" s="695">
        <f>D51-L51</f>
        <v>0</v>
      </c>
      <c r="P51" s="803" t="s">
        <v>385</v>
      </c>
      <c r="Q51" s="782">
        <v>5444999.6666666679</v>
      </c>
      <c r="R51" s="782">
        <v>4310000</v>
      </c>
      <c r="S51" s="695">
        <f t="shared" si="1"/>
        <v>-1134.999666666668</v>
      </c>
    </row>
    <row r="52" spans="1:19" ht="14.4" thickBot="1" x14ac:dyDescent="0.35">
      <c r="A52" s="804" t="s">
        <v>384</v>
      </c>
      <c r="B52" s="782">
        <v>0</v>
      </c>
      <c r="C52" s="782">
        <v>0</v>
      </c>
      <c r="D52" s="1152">
        <v>0</v>
      </c>
      <c r="E52" s="782">
        <v>0</v>
      </c>
      <c r="F52" s="782">
        <v>0</v>
      </c>
      <c r="G52" s="782">
        <v>0</v>
      </c>
      <c r="H52" s="782">
        <v>0</v>
      </c>
      <c r="I52" s="782">
        <v>0</v>
      </c>
      <c r="J52" s="782">
        <v>0</v>
      </c>
      <c r="K52" s="786"/>
      <c r="L52" s="782">
        <v>0</v>
      </c>
      <c r="M52" s="695">
        <f>D52-L52</f>
        <v>0</v>
      </c>
      <c r="P52" s="804" t="s">
        <v>384</v>
      </c>
      <c r="Q52" s="782">
        <v>314000.33333333337</v>
      </c>
      <c r="R52" s="781">
        <v>292000.00000000006</v>
      </c>
      <c r="S52" s="695">
        <f t="shared" si="1"/>
        <v>-22.000333333333312</v>
      </c>
    </row>
    <row r="53" spans="1:19" x14ac:dyDescent="0.3">
      <c r="B53" s="125"/>
      <c r="G53" s="138"/>
      <c r="I53" s="138"/>
    </row>
    <row r="54" spans="1:19" x14ac:dyDescent="0.3">
      <c r="G54" s="138"/>
      <c r="I54" s="138"/>
    </row>
    <row r="55" spans="1:19" x14ac:dyDescent="0.3">
      <c r="G55" s="138"/>
      <c r="I55" s="138"/>
    </row>
    <row r="56" spans="1:19" x14ac:dyDescent="0.3">
      <c r="G56" s="356"/>
      <c r="I56" s="138"/>
    </row>
    <row r="57" spans="1:19" x14ac:dyDescent="0.3">
      <c r="D57" s="336">
        <f>SUM(D41:D47)</f>
        <v>-652472.90999999992</v>
      </c>
      <c r="G57" s="143">
        <f>G48-G44-G43-G42-G41</f>
        <v>0</v>
      </c>
      <c r="I57" s="138"/>
    </row>
    <row r="58" spans="1:19" x14ac:dyDescent="0.3">
      <c r="D58" s="336">
        <f>D48-D57</f>
        <v>-8731065.2400000002</v>
      </c>
      <c r="G58" s="143">
        <v>9448036.2899999991</v>
      </c>
      <c r="I58" s="138"/>
    </row>
    <row r="59" spans="1:19" x14ac:dyDescent="0.3">
      <c r="G59" s="143">
        <f>SUM(G57:G58)</f>
        <v>9448036.2899999991</v>
      </c>
      <c r="I59" s="1099"/>
    </row>
    <row r="60" spans="1:19" x14ac:dyDescent="0.3">
      <c r="G60" s="138"/>
      <c r="I60" s="138"/>
    </row>
    <row r="61" spans="1:19" x14ac:dyDescent="0.3">
      <c r="G61" s="138"/>
      <c r="I61" s="138"/>
    </row>
    <row r="62" spans="1:19" x14ac:dyDescent="0.3">
      <c r="G62" s="138"/>
      <c r="I62" s="138"/>
    </row>
    <row r="63" spans="1:19" x14ac:dyDescent="0.3">
      <c r="G63" s="138"/>
      <c r="I63" s="138"/>
    </row>
    <row r="64" spans="1:19" x14ac:dyDescent="0.3">
      <c r="G64" s="138"/>
      <c r="I64" s="138"/>
    </row>
    <row r="65" spans="2:10" x14ac:dyDescent="0.3">
      <c r="G65" s="138"/>
      <c r="I65" s="138"/>
    </row>
    <row r="66" spans="2:10" x14ac:dyDescent="0.3">
      <c r="B66" s="110"/>
      <c r="C66" s="110"/>
      <c r="D66" s="110"/>
      <c r="E66" s="110"/>
      <c r="F66" s="110"/>
      <c r="G66" s="138"/>
      <c r="I66" s="138"/>
      <c r="J66" s="110"/>
    </row>
    <row r="67" spans="2:10" x14ac:dyDescent="0.3">
      <c r="B67" s="110"/>
      <c r="C67" s="110"/>
      <c r="D67" s="110"/>
      <c r="E67" s="110"/>
      <c r="F67" s="110"/>
      <c r="G67" s="138"/>
      <c r="I67" s="138"/>
      <c r="J67" s="110"/>
    </row>
    <row r="68" spans="2:10" x14ac:dyDescent="0.3">
      <c r="B68" s="110"/>
      <c r="C68" s="110"/>
      <c r="D68" s="110"/>
      <c r="E68" s="110"/>
      <c r="F68" s="110"/>
      <c r="G68" s="138"/>
      <c r="I68" s="138"/>
      <c r="J68" s="110"/>
    </row>
    <row r="69" spans="2:10" x14ac:dyDescent="0.3">
      <c r="B69" s="110"/>
      <c r="C69" s="110"/>
      <c r="D69" s="110"/>
      <c r="E69" s="110"/>
      <c r="F69" s="110"/>
      <c r="G69" s="138"/>
      <c r="I69" s="138"/>
      <c r="J69" s="110"/>
    </row>
    <row r="70" spans="2:10" x14ac:dyDescent="0.3">
      <c r="B70" s="110"/>
      <c r="C70" s="110"/>
      <c r="D70" s="110"/>
      <c r="E70" s="110"/>
      <c r="F70" s="110"/>
      <c r="G70" s="138"/>
      <c r="I70" s="138"/>
      <c r="J70" s="110"/>
    </row>
    <row r="71" spans="2:10" x14ac:dyDescent="0.3">
      <c r="B71" s="110"/>
      <c r="C71" s="110"/>
      <c r="D71" s="110"/>
      <c r="E71" s="110"/>
      <c r="F71" s="110"/>
      <c r="G71" s="138"/>
      <c r="I71" s="138"/>
      <c r="J71" s="110"/>
    </row>
    <row r="72" spans="2:10" x14ac:dyDescent="0.3">
      <c r="B72" s="110"/>
      <c r="C72" s="110"/>
      <c r="D72" s="110"/>
      <c r="E72" s="110"/>
      <c r="F72" s="110"/>
      <c r="G72" s="138"/>
      <c r="I72" s="138"/>
      <c r="J72" s="110"/>
    </row>
    <row r="73" spans="2:10" x14ac:dyDescent="0.3">
      <c r="B73" s="110"/>
      <c r="C73" s="110"/>
      <c r="D73" s="110"/>
      <c r="E73" s="110"/>
      <c r="F73" s="110"/>
      <c r="G73" s="138"/>
      <c r="I73" s="138"/>
      <c r="J73" s="110"/>
    </row>
    <row r="74" spans="2:10" x14ac:dyDescent="0.3">
      <c r="B74" s="110"/>
      <c r="C74" s="110"/>
      <c r="D74" s="110"/>
      <c r="E74" s="110"/>
      <c r="F74" s="110"/>
      <c r="G74" s="138"/>
      <c r="I74" s="138"/>
      <c r="J74" s="110"/>
    </row>
    <row r="75" spans="2:10" x14ac:dyDescent="0.3">
      <c r="B75" s="110"/>
      <c r="C75" s="110"/>
      <c r="D75" s="110"/>
      <c r="E75" s="110"/>
      <c r="F75" s="110"/>
      <c r="G75" s="138"/>
      <c r="I75" s="138"/>
      <c r="J75" s="110"/>
    </row>
    <row r="76" spans="2:10" x14ac:dyDescent="0.3">
      <c r="B76" s="110"/>
      <c r="C76" s="110"/>
      <c r="D76" s="110"/>
      <c r="E76" s="110"/>
      <c r="F76" s="110"/>
      <c r="G76" s="138"/>
      <c r="I76" s="138"/>
      <c r="J76" s="110"/>
    </row>
    <row r="77" spans="2:10" x14ac:dyDescent="0.3">
      <c r="B77" s="110"/>
      <c r="C77" s="110"/>
      <c r="D77" s="110"/>
      <c r="E77" s="110"/>
      <c r="F77" s="110"/>
      <c r="G77" s="138"/>
      <c r="I77" s="138"/>
      <c r="J77" s="110"/>
    </row>
    <row r="78" spans="2:10" x14ac:dyDescent="0.3">
      <c r="B78" s="110"/>
      <c r="C78" s="110"/>
      <c r="D78" s="110"/>
      <c r="E78" s="110"/>
      <c r="F78" s="110"/>
      <c r="G78" s="138"/>
      <c r="I78" s="138"/>
      <c r="J78" s="110"/>
    </row>
    <row r="79" spans="2:10" x14ac:dyDescent="0.3">
      <c r="B79" s="110"/>
      <c r="C79" s="110"/>
      <c r="D79" s="110"/>
      <c r="E79" s="110"/>
      <c r="F79" s="110"/>
      <c r="G79" s="138"/>
      <c r="I79" s="138"/>
      <c r="J79" s="110"/>
    </row>
    <row r="80" spans="2:10" x14ac:dyDescent="0.3">
      <c r="B80" s="110"/>
      <c r="C80" s="110"/>
      <c r="D80" s="110"/>
      <c r="E80" s="110"/>
      <c r="F80" s="110"/>
      <c r="G80" s="138"/>
      <c r="I80" s="138"/>
      <c r="J80" s="110"/>
    </row>
    <row r="81" spans="2:10" x14ac:dyDescent="0.3">
      <c r="B81" s="110"/>
      <c r="C81" s="110"/>
      <c r="D81" s="110"/>
      <c r="E81" s="110"/>
      <c r="F81" s="110"/>
      <c r="G81" s="138"/>
      <c r="I81" s="138"/>
      <c r="J81" s="110"/>
    </row>
    <row r="82" spans="2:10" x14ac:dyDescent="0.3">
      <c r="B82" s="110"/>
      <c r="C82" s="110"/>
      <c r="D82" s="110"/>
      <c r="E82" s="110"/>
      <c r="F82" s="110"/>
      <c r="G82" s="138"/>
      <c r="I82" s="138"/>
      <c r="J82" s="110"/>
    </row>
    <row r="83" spans="2:10" x14ac:dyDescent="0.3">
      <c r="B83" s="110"/>
      <c r="C83" s="110"/>
      <c r="D83" s="110"/>
      <c r="E83" s="110"/>
      <c r="F83" s="110"/>
      <c r="G83" s="138"/>
      <c r="I83" s="138"/>
      <c r="J83" s="110"/>
    </row>
    <row r="84" spans="2:10" x14ac:dyDescent="0.3">
      <c r="B84" s="110"/>
      <c r="C84" s="110"/>
      <c r="D84" s="110"/>
      <c r="E84" s="110"/>
      <c r="F84" s="110"/>
      <c r="G84" s="138"/>
      <c r="I84" s="138"/>
      <c r="J84" s="110"/>
    </row>
    <row r="85" spans="2:10" x14ac:dyDescent="0.3">
      <c r="B85" s="110"/>
      <c r="C85" s="110"/>
      <c r="D85" s="110"/>
      <c r="E85" s="110"/>
      <c r="F85" s="110"/>
      <c r="G85" s="138"/>
      <c r="I85" s="138"/>
      <c r="J85" s="110"/>
    </row>
    <row r="86" spans="2:10" x14ac:dyDescent="0.3">
      <c r="B86" s="110"/>
      <c r="C86" s="110"/>
      <c r="D86" s="110"/>
      <c r="E86" s="110"/>
      <c r="F86" s="110"/>
      <c r="G86" s="138"/>
      <c r="I86" s="138"/>
      <c r="J86" s="110"/>
    </row>
    <row r="87" spans="2:10" x14ac:dyDescent="0.3">
      <c r="B87" s="110"/>
      <c r="C87" s="110"/>
      <c r="D87" s="110"/>
      <c r="E87" s="110"/>
      <c r="F87" s="110"/>
      <c r="G87" s="138"/>
      <c r="I87" s="138"/>
      <c r="J87" s="110"/>
    </row>
    <row r="88" spans="2:10" x14ac:dyDescent="0.3">
      <c r="B88" s="110"/>
      <c r="C88" s="110"/>
      <c r="D88" s="110"/>
      <c r="E88" s="110"/>
      <c r="F88" s="110"/>
      <c r="G88" s="138"/>
      <c r="I88" s="138"/>
      <c r="J88" s="110"/>
    </row>
    <row r="89" spans="2:10" x14ac:dyDescent="0.3">
      <c r="B89" s="110"/>
      <c r="C89" s="110"/>
      <c r="D89" s="110"/>
      <c r="E89" s="110"/>
      <c r="F89" s="110"/>
      <c r="G89" s="138"/>
      <c r="I89" s="138"/>
      <c r="J89" s="110"/>
    </row>
    <row r="90" spans="2:10" x14ac:dyDescent="0.3">
      <c r="B90" s="110"/>
      <c r="C90" s="110"/>
      <c r="D90" s="110"/>
      <c r="E90" s="110"/>
      <c r="F90" s="110"/>
      <c r="G90" s="138"/>
      <c r="I90" s="138"/>
      <c r="J90" s="110"/>
    </row>
    <row r="91" spans="2:10" x14ac:dyDescent="0.3">
      <c r="B91" s="110"/>
      <c r="C91" s="110"/>
      <c r="D91" s="110"/>
      <c r="E91" s="110"/>
      <c r="F91" s="110"/>
      <c r="G91" s="138"/>
      <c r="I91" s="138"/>
      <c r="J91" s="110"/>
    </row>
    <row r="92" spans="2:10" x14ac:dyDescent="0.3">
      <c r="B92" s="110"/>
      <c r="C92" s="110"/>
      <c r="D92" s="110"/>
      <c r="E92" s="110"/>
      <c r="F92" s="110"/>
      <c r="G92" s="138"/>
      <c r="I92" s="138"/>
      <c r="J92" s="110"/>
    </row>
    <row r="93" spans="2:10" x14ac:dyDescent="0.3">
      <c r="B93" s="110"/>
      <c r="C93" s="110"/>
      <c r="D93" s="110"/>
      <c r="E93" s="110"/>
      <c r="F93" s="110"/>
      <c r="G93" s="138"/>
      <c r="I93" s="138"/>
      <c r="J93" s="110"/>
    </row>
    <row r="94" spans="2:10" x14ac:dyDescent="0.3">
      <c r="B94" s="110"/>
      <c r="C94" s="110"/>
      <c r="D94" s="110"/>
      <c r="E94" s="110"/>
      <c r="F94" s="110"/>
      <c r="G94" s="138"/>
      <c r="I94" s="138"/>
      <c r="J94" s="110"/>
    </row>
    <row r="95" spans="2:10" x14ac:dyDescent="0.3">
      <c r="B95" s="110"/>
      <c r="C95" s="110"/>
      <c r="D95" s="110"/>
      <c r="E95" s="110"/>
      <c r="F95" s="110"/>
      <c r="G95" s="138"/>
      <c r="I95" s="138"/>
      <c r="J95" s="110"/>
    </row>
    <row r="96" spans="2:10" x14ac:dyDescent="0.3">
      <c r="B96" s="110"/>
      <c r="C96" s="110"/>
      <c r="D96" s="110"/>
      <c r="E96" s="110"/>
      <c r="F96" s="110"/>
      <c r="G96" s="138"/>
      <c r="I96" s="138"/>
      <c r="J96" s="110"/>
    </row>
    <row r="97" spans="2:10" x14ac:dyDescent="0.3">
      <c r="B97" s="110"/>
      <c r="C97" s="110"/>
      <c r="D97" s="110"/>
      <c r="E97" s="110"/>
      <c r="F97" s="110"/>
      <c r="G97" s="138"/>
      <c r="I97" s="138"/>
      <c r="J97" s="110"/>
    </row>
    <row r="98" spans="2:10" x14ac:dyDescent="0.3">
      <c r="B98" s="110"/>
      <c r="C98" s="110"/>
      <c r="D98" s="110"/>
      <c r="E98" s="110"/>
      <c r="F98" s="110"/>
      <c r="G98" s="138"/>
      <c r="I98" s="138"/>
      <c r="J98" s="110"/>
    </row>
    <row r="99" spans="2:10" x14ac:dyDescent="0.3">
      <c r="B99" s="110"/>
      <c r="C99" s="110"/>
      <c r="D99" s="110"/>
      <c r="E99" s="110"/>
      <c r="F99" s="110"/>
      <c r="G99" s="138"/>
      <c r="I99" s="138"/>
      <c r="J99" s="110"/>
    </row>
    <row r="100" spans="2:10" x14ac:dyDescent="0.3">
      <c r="B100" s="110"/>
      <c r="C100" s="110"/>
      <c r="D100" s="110"/>
      <c r="E100" s="110"/>
      <c r="F100" s="110"/>
      <c r="G100" s="138"/>
      <c r="I100" s="138"/>
      <c r="J100" s="110"/>
    </row>
    <row r="101" spans="2:10" x14ac:dyDescent="0.3">
      <c r="B101" s="110"/>
      <c r="C101" s="110"/>
      <c r="D101" s="110"/>
      <c r="E101" s="110"/>
      <c r="F101" s="110"/>
      <c r="G101" s="138"/>
      <c r="I101" s="138"/>
      <c r="J101" s="110"/>
    </row>
    <row r="102" spans="2:10" x14ac:dyDescent="0.3">
      <c r="B102" s="110"/>
      <c r="C102" s="110"/>
      <c r="D102" s="110"/>
      <c r="E102" s="110"/>
      <c r="F102" s="110"/>
      <c r="G102" s="138"/>
      <c r="I102" s="138"/>
      <c r="J102" s="110"/>
    </row>
    <row r="103" spans="2:10" x14ac:dyDescent="0.3">
      <c r="B103" s="110"/>
      <c r="C103" s="110"/>
      <c r="D103" s="110"/>
      <c r="E103" s="110"/>
      <c r="F103" s="110"/>
      <c r="G103" s="138"/>
      <c r="I103" s="138"/>
      <c r="J103" s="110"/>
    </row>
    <row r="104" spans="2:10" x14ac:dyDescent="0.3">
      <c r="B104" s="110"/>
      <c r="C104" s="110"/>
      <c r="D104" s="110"/>
      <c r="E104" s="110"/>
      <c r="F104" s="110"/>
      <c r="G104" s="138"/>
      <c r="I104" s="138"/>
      <c r="J104" s="110"/>
    </row>
    <row r="105" spans="2:10" x14ac:dyDescent="0.3">
      <c r="B105" s="110"/>
      <c r="C105" s="110"/>
      <c r="D105" s="110"/>
      <c r="E105" s="110"/>
      <c r="F105" s="110"/>
      <c r="G105" s="138"/>
      <c r="I105" s="138"/>
      <c r="J105" s="110"/>
    </row>
    <row r="106" spans="2:10" x14ac:dyDescent="0.3">
      <c r="B106" s="110"/>
      <c r="C106" s="110"/>
      <c r="D106" s="110"/>
      <c r="E106" s="110"/>
      <c r="F106" s="110"/>
      <c r="G106" s="138"/>
      <c r="I106" s="138"/>
      <c r="J106" s="110"/>
    </row>
    <row r="107" spans="2:10" x14ac:dyDescent="0.3">
      <c r="B107" s="110"/>
      <c r="C107" s="110"/>
      <c r="D107" s="110"/>
      <c r="E107" s="110"/>
      <c r="F107" s="110"/>
      <c r="G107" s="138"/>
      <c r="I107" s="138"/>
      <c r="J107" s="110"/>
    </row>
    <row r="108" spans="2:10" x14ac:dyDescent="0.3">
      <c r="B108" s="110"/>
      <c r="C108" s="110"/>
      <c r="D108" s="110"/>
      <c r="E108" s="110"/>
      <c r="F108" s="110"/>
      <c r="G108" s="138"/>
      <c r="I108" s="138"/>
      <c r="J108" s="110"/>
    </row>
    <row r="109" spans="2:10" x14ac:dyDescent="0.3">
      <c r="B109" s="110"/>
      <c r="C109" s="110"/>
      <c r="D109" s="110"/>
      <c r="E109" s="110"/>
      <c r="F109" s="110"/>
      <c r="G109" s="138"/>
      <c r="I109" s="138"/>
      <c r="J109" s="110"/>
    </row>
    <row r="110" spans="2:10" x14ac:dyDescent="0.3">
      <c r="B110" s="110"/>
      <c r="C110" s="110"/>
      <c r="D110" s="110"/>
      <c r="E110" s="110"/>
      <c r="F110" s="110"/>
      <c r="G110" s="138"/>
      <c r="I110" s="138"/>
      <c r="J110" s="110"/>
    </row>
    <row r="111" spans="2:10" x14ac:dyDescent="0.3">
      <c r="B111" s="110"/>
      <c r="C111" s="110"/>
      <c r="D111" s="110"/>
      <c r="E111" s="110"/>
      <c r="F111" s="110"/>
      <c r="G111" s="138"/>
      <c r="I111" s="138"/>
      <c r="J111" s="110"/>
    </row>
    <row r="112" spans="2:10" x14ac:dyDescent="0.3">
      <c r="B112" s="110"/>
      <c r="C112" s="110"/>
      <c r="D112" s="110"/>
      <c r="E112" s="110"/>
      <c r="F112" s="110"/>
      <c r="G112" s="138"/>
      <c r="I112" s="138"/>
      <c r="J112" s="110"/>
    </row>
    <row r="113" spans="2:10" x14ac:dyDescent="0.3">
      <c r="B113" s="110"/>
      <c r="C113" s="110"/>
      <c r="D113" s="110"/>
      <c r="E113" s="110"/>
      <c r="F113" s="110"/>
      <c r="G113" s="138"/>
      <c r="I113" s="138"/>
      <c r="J113" s="110"/>
    </row>
    <row r="114" spans="2:10" x14ac:dyDescent="0.3">
      <c r="B114" s="110"/>
      <c r="C114" s="110"/>
      <c r="D114" s="110"/>
      <c r="E114" s="110"/>
      <c r="F114" s="110"/>
      <c r="G114" s="138"/>
      <c r="I114" s="138"/>
      <c r="J114" s="110"/>
    </row>
    <row r="115" spans="2:10" x14ac:dyDescent="0.3">
      <c r="B115" s="110"/>
      <c r="C115" s="110"/>
      <c r="D115" s="110"/>
      <c r="E115" s="110"/>
      <c r="F115" s="110"/>
      <c r="G115" s="138"/>
      <c r="I115" s="138"/>
      <c r="J115" s="110"/>
    </row>
    <row r="116" spans="2:10" x14ac:dyDescent="0.3">
      <c r="B116" s="110"/>
      <c r="C116" s="110"/>
      <c r="D116" s="110"/>
      <c r="E116" s="110"/>
      <c r="F116" s="110"/>
      <c r="G116" s="138"/>
      <c r="I116" s="138"/>
      <c r="J116" s="110"/>
    </row>
    <row r="117" spans="2:10" x14ac:dyDescent="0.3">
      <c r="B117" s="110"/>
      <c r="C117" s="110"/>
      <c r="D117" s="110"/>
      <c r="E117" s="110"/>
      <c r="F117" s="110"/>
      <c r="G117" s="138"/>
      <c r="I117" s="138"/>
      <c r="J117" s="110"/>
    </row>
    <row r="118" spans="2:10" x14ac:dyDescent="0.3">
      <c r="B118" s="110"/>
      <c r="C118" s="110"/>
      <c r="D118" s="110"/>
      <c r="E118" s="110"/>
      <c r="F118" s="110"/>
      <c r="G118" s="138"/>
      <c r="I118" s="138"/>
      <c r="J118" s="110"/>
    </row>
    <row r="119" spans="2:10" x14ac:dyDescent="0.3">
      <c r="B119" s="110"/>
      <c r="C119" s="110"/>
      <c r="D119" s="110"/>
      <c r="E119" s="110"/>
      <c r="F119" s="110"/>
      <c r="G119" s="138"/>
      <c r="I119" s="138"/>
      <c r="J119" s="110"/>
    </row>
    <row r="120" spans="2:10" x14ac:dyDescent="0.3">
      <c r="B120" s="110"/>
      <c r="C120" s="110"/>
      <c r="D120" s="110"/>
      <c r="E120" s="110"/>
      <c r="F120" s="110"/>
      <c r="G120" s="138"/>
      <c r="I120" s="138"/>
      <c r="J120" s="110"/>
    </row>
    <row r="121" spans="2:10" x14ac:dyDescent="0.3">
      <c r="B121" s="110"/>
      <c r="C121" s="110"/>
      <c r="D121" s="110"/>
      <c r="E121" s="110"/>
      <c r="F121" s="110"/>
      <c r="G121" s="138"/>
      <c r="I121" s="138"/>
      <c r="J121" s="110"/>
    </row>
    <row r="122" spans="2:10" x14ac:dyDescent="0.3">
      <c r="B122" s="110"/>
      <c r="C122" s="110"/>
      <c r="D122" s="110"/>
      <c r="E122" s="110"/>
      <c r="F122" s="110"/>
      <c r="G122" s="138"/>
      <c r="I122" s="138"/>
      <c r="J122" s="110"/>
    </row>
    <row r="123" spans="2:10" x14ac:dyDescent="0.3">
      <c r="B123" s="110"/>
      <c r="C123" s="110"/>
      <c r="D123" s="110"/>
      <c r="E123" s="110"/>
      <c r="F123" s="110"/>
      <c r="G123" s="138"/>
      <c r="I123" s="138"/>
      <c r="J123" s="110"/>
    </row>
    <row r="124" spans="2:10" x14ac:dyDescent="0.3">
      <c r="B124" s="110"/>
      <c r="C124" s="110"/>
      <c r="D124" s="110"/>
      <c r="E124" s="110"/>
      <c r="F124" s="110"/>
      <c r="G124" s="138"/>
      <c r="I124" s="138"/>
      <c r="J124" s="110"/>
    </row>
    <row r="125" spans="2:10" x14ac:dyDescent="0.3">
      <c r="B125" s="110"/>
      <c r="C125" s="110"/>
      <c r="D125" s="110"/>
      <c r="E125" s="110"/>
      <c r="F125" s="110"/>
      <c r="G125" s="138"/>
      <c r="I125" s="138"/>
      <c r="J125" s="110"/>
    </row>
    <row r="126" spans="2:10" x14ac:dyDescent="0.3">
      <c r="B126" s="110"/>
      <c r="C126" s="110"/>
      <c r="D126" s="110"/>
      <c r="E126" s="110"/>
      <c r="F126" s="110"/>
      <c r="G126" s="138"/>
      <c r="I126" s="138"/>
      <c r="J126" s="110"/>
    </row>
    <row r="127" spans="2:10" x14ac:dyDescent="0.3">
      <c r="B127" s="110"/>
      <c r="C127" s="110"/>
      <c r="D127" s="110"/>
      <c r="E127" s="110"/>
      <c r="F127" s="110"/>
      <c r="G127" s="138"/>
      <c r="I127" s="138"/>
      <c r="J127" s="110"/>
    </row>
    <row r="128" spans="2:10" x14ac:dyDescent="0.3">
      <c r="B128" s="110"/>
      <c r="C128" s="110"/>
      <c r="D128" s="110"/>
      <c r="E128" s="110"/>
      <c r="F128" s="110"/>
      <c r="G128" s="138"/>
      <c r="I128" s="138"/>
      <c r="J128" s="110"/>
    </row>
    <row r="129" spans="2:10" x14ac:dyDescent="0.3">
      <c r="B129" s="110"/>
      <c r="C129" s="110"/>
      <c r="D129" s="110"/>
      <c r="E129" s="110"/>
      <c r="F129" s="110"/>
      <c r="G129" s="138"/>
      <c r="I129" s="138"/>
      <c r="J129" s="110"/>
    </row>
    <row r="130" spans="2:10" x14ac:dyDescent="0.3">
      <c r="B130" s="110"/>
      <c r="C130" s="110"/>
      <c r="D130" s="110"/>
      <c r="E130" s="110"/>
      <c r="F130" s="110"/>
      <c r="G130" s="138"/>
      <c r="I130" s="138"/>
      <c r="J130" s="110"/>
    </row>
    <row r="131" spans="2:10" x14ac:dyDescent="0.3">
      <c r="B131" s="110"/>
      <c r="C131" s="110"/>
      <c r="D131" s="110"/>
      <c r="E131" s="110"/>
      <c r="F131" s="110"/>
      <c r="G131" s="138"/>
      <c r="I131" s="138"/>
      <c r="J131" s="110"/>
    </row>
    <row r="132" spans="2:10" x14ac:dyDescent="0.3">
      <c r="B132" s="110"/>
      <c r="C132" s="110"/>
      <c r="D132" s="110"/>
      <c r="E132" s="110"/>
      <c r="F132" s="110"/>
      <c r="G132" s="138"/>
      <c r="I132" s="138"/>
      <c r="J132" s="110"/>
    </row>
    <row r="133" spans="2:10" x14ac:dyDescent="0.3">
      <c r="B133" s="110"/>
      <c r="C133" s="110"/>
      <c r="D133" s="110"/>
      <c r="E133" s="110"/>
      <c r="F133" s="110"/>
      <c r="G133" s="138"/>
      <c r="I133" s="138"/>
      <c r="J133" s="110"/>
    </row>
    <row r="134" spans="2:10" x14ac:dyDescent="0.3">
      <c r="B134" s="110"/>
      <c r="C134" s="110"/>
      <c r="D134" s="110"/>
      <c r="E134" s="110"/>
      <c r="F134" s="110"/>
      <c r="G134" s="138"/>
      <c r="I134" s="138"/>
      <c r="J134" s="110"/>
    </row>
    <row r="135" spans="2:10" x14ac:dyDescent="0.3">
      <c r="B135" s="110"/>
      <c r="C135" s="110"/>
      <c r="D135" s="110"/>
      <c r="E135" s="110"/>
      <c r="F135" s="110"/>
      <c r="G135" s="138"/>
      <c r="I135" s="138"/>
      <c r="J135" s="110"/>
    </row>
    <row r="136" spans="2:10" x14ac:dyDescent="0.3">
      <c r="B136" s="110"/>
      <c r="C136" s="110"/>
      <c r="D136" s="110"/>
      <c r="E136" s="110"/>
      <c r="F136" s="110"/>
      <c r="G136" s="138"/>
      <c r="I136" s="138"/>
      <c r="J136" s="110"/>
    </row>
    <row r="137" spans="2:10" x14ac:dyDescent="0.3">
      <c r="B137" s="110"/>
      <c r="C137" s="110"/>
      <c r="D137" s="110"/>
      <c r="E137" s="110"/>
      <c r="F137" s="110"/>
      <c r="G137" s="138"/>
      <c r="I137" s="138"/>
      <c r="J137" s="110"/>
    </row>
    <row r="138" spans="2:10" x14ac:dyDescent="0.3">
      <c r="B138" s="110"/>
      <c r="C138" s="110"/>
      <c r="D138" s="110"/>
      <c r="E138" s="110"/>
      <c r="F138" s="110"/>
      <c r="G138" s="138"/>
      <c r="I138" s="138"/>
      <c r="J138" s="110"/>
    </row>
    <row r="139" spans="2:10" x14ac:dyDescent="0.3">
      <c r="B139" s="110"/>
      <c r="C139" s="110"/>
      <c r="D139" s="110"/>
      <c r="E139" s="110"/>
      <c r="F139" s="110"/>
      <c r="G139" s="138"/>
      <c r="I139" s="138"/>
      <c r="J139" s="110"/>
    </row>
    <row r="140" spans="2:10" x14ac:dyDescent="0.3">
      <c r="B140" s="110"/>
      <c r="C140" s="110"/>
      <c r="D140" s="110"/>
      <c r="E140" s="110"/>
      <c r="F140" s="110"/>
      <c r="G140" s="138"/>
      <c r="I140" s="138"/>
      <c r="J140" s="110"/>
    </row>
    <row r="141" spans="2:10" x14ac:dyDescent="0.3">
      <c r="B141" s="110"/>
      <c r="C141" s="110"/>
      <c r="D141" s="110"/>
      <c r="E141" s="110"/>
      <c r="F141" s="110"/>
      <c r="G141" s="138"/>
      <c r="I141" s="138"/>
      <c r="J141" s="110"/>
    </row>
    <row r="142" spans="2:10" x14ac:dyDescent="0.3">
      <c r="B142" s="110"/>
      <c r="C142" s="110"/>
      <c r="D142" s="110"/>
      <c r="E142" s="110"/>
      <c r="F142" s="110"/>
      <c r="G142" s="138"/>
      <c r="I142" s="138"/>
      <c r="J142" s="110"/>
    </row>
    <row r="143" spans="2:10" x14ac:dyDescent="0.3">
      <c r="B143" s="110"/>
      <c r="C143" s="110"/>
      <c r="D143" s="110"/>
      <c r="E143" s="110"/>
      <c r="F143" s="110"/>
      <c r="G143" s="138"/>
      <c r="I143" s="138"/>
      <c r="J143" s="110"/>
    </row>
    <row r="144" spans="2:10" x14ac:dyDescent="0.3">
      <c r="B144" s="110"/>
      <c r="C144" s="110"/>
      <c r="D144" s="110"/>
      <c r="E144" s="110"/>
      <c r="F144" s="110"/>
      <c r="G144" s="138"/>
      <c r="I144" s="138"/>
      <c r="J144" s="110"/>
    </row>
    <row r="145" spans="2:10" x14ac:dyDescent="0.3">
      <c r="B145" s="110"/>
      <c r="C145" s="110"/>
      <c r="D145" s="110"/>
      <c r="E145" s="110"/>
      <c r="F145" s="110"/>
      <c r="G145" s="138"/>
      <c r="I145" s="138"/>
      <c r="J145" s="110"/>
    </row>
    <row r="146" spans="2:10" x14ac:dyDescent="0.3">
      <c r="B146" s="110"/>
      <c r="C146" s="110"/>
      <c r="D146" s="110"/>
      <c r="E146" s="110"/>
      <c r="F146" s="110"/>
      <c r="G146" s="138"/>
      <c r="I146" s="138"/>
      <c r="J146" s="110"/>
    </row>
    <row r="147" spans="2:10" x14ac:dyDescent="0.3">
      <c r="B147" s="110"/>
      <c r="C147" s="110"/>
      <c r="D147" s="110"/>
      <c r="E147" s="110"/>
      <c r="F147" s="110"/>
      <c r="G147" s="138"/>
      <c r="I147" s="138"/>
      <c r="J147" s="110"/>
    </row>
    <row r="148" spans="2:10" x14ac:dyDescent="0.3">
      <c r="B148" s="110"/>
      <c r="C148" s="110"/>
      <c r="D148" s="110"/>
      <c r="E148" s="110"/>
      <c r="F148" s="110"/>
      <c r="G148" s="138"/>
      <c r="I148" s="138"/>
      <c r="J148" s="110"/>
    </row>
    <row r="149" spans="2:10" x14ac:dyDescent="0.3">
      <c r="B149" s="110"/>
      <c r="C149" s="110"/>
      <c r="D149" s="110"/>
      <c r="E149" s="110"/>
      <c r="F149" s="110"/>
      <c r="G149" s="138"/>
      <c r="I149" s="138"/>
      <c r="J149" s="110"/>
    </row>
    <row r="150" spans="2:10" x14ac:dyDescent="0.3">
      <c r="B150" s="110"/>
      <c r="C150" s="110"/>
      <c r="D150" s="110"/>
      <c r="E150" s="110"/>
      <c r="F150" s="110"/>
      <c r="G150" s="138"/>
      <c r="I150" s="138"/>
      <c r="J150" s="110"/>
    </row>
    <row r="151" spans="2:10" x14ac:dyDescent="0.3">
      <c r="B151" s="110"/>
      <c r="C151" s="110"/>
      <c r="D151" s="110"/>
      <c r="E151" s="110"/>
      <c r="F151" s="110"/>
      <c r="G151" s="138"/>
      <c r="I151" s="138"/>
      <c r="J151" s="110"/>
    </row>
    <row r="152" spans="2:10" x14ac:dyDescent="0.3">
      <c r="B152" s="110"/>
      <c r="C152" s="110"/>
      <c r="D152" s="110"/>
      <c r="E152" s="110"/>
      <c r="F152" s="110"/>
      <c r="G152" s="138"/>
      <c r="I152" s="138"/>
      <c r="J152" s="110"/>
    </row>
    <row r="153" spans="2:10" x14ac:dyDescent="0.3">
      <c r="B153" s="110"/>
      <c r="C153" s="110"/>
      <c r="D153" s="110"/>
      <c r="E153" s="110"/>
      <c r="F153" s="110"/>
      <c r="G153" s="138"/>
      <c r="I153" s="138"/>
      <c r="J153" s="110"/>
    </row>
    <row r="154" spans="2:10" x14ac:dyDescent="0.3">
      <c r="B154" s="110"/>
      <c r="C154" s="110"/>
      <c r="D154" s="110"/>
      <c r="E154" s="110"/>
      <c r="F154" s="110"/>
      <c r="G154" s="138"/>
      <c r="I154" s="138"/>
      <c r="J154" s="110"/>
    </row>
    <row r="155" spans="2:10" x14ac:dyDescent="0.3">
      <c r="B155" s="110"/>
      <c r="C155" s="110"/>
      <c r="D155" s="110"/>
      <c r="E155" s="110"/>
      <c r="F155" s="110"/>
      <c r="G155" s="138"/>
      <c r="I155" s="138"/>
      <c r="J155" s="110"/>
    </row>
    <row r="156" spans="2:10" x14ac:dyDescent="0.3">
      <c r="B156" s="110"/>
      <c r="C156" s="110"/>
      <c r="D156" s="110"/>
      <c r="E156" s="110"/>
      <c r="F156" s="110"/>
      <c r="G156" s="138"/>
      <c r="I156" s="138"/>
      <c r="J156" s="110"/>
    </row>
    <row r="157" spans="2:10" x14ac:dyDescent="0.3">
      <c r="B157" s="110"/>
      <c r="C157" s="110"/>
      <c r="D157" s="110"/>
      <c r="E157" s="110"/>
      <c r="F157" s="110"/>
      <c r="G157" s="138"/>
      <c r="I157" s="138"/>
      <c r="J157" s="110"/>
    </row>
    <row r="158" spans="2:10" x14ac:dyDescent="0.3">
      <c r="B158" s="110"/>
      <c r="C158" s="110"/>
      <c r="D158" s="110"/>
      <c r="E158" s="110"/>
      <c r="F158" s="110"/>
      <c r="G158" s="138"/>
      <c r="I158" s="138"/>
      <c r="J158" s="110"/>
    </row>
    <row r="159" spans="2:10" x14ac:dyDescent="0.3">
      <c r="B159" s="110"/>
      <c r="C159" s="110"/>
      <c r="D159" s="110"/>
      <c r="E159" s="110"/>
      <c r="F159" s="110"/>
      <c r="G159" s="138"/>
      <c r="I159" s="138"/>
      <c r="J159" s="110"/>
    </row>
    <row r="160" spans="2:10" x14ac:dyDescent="0.3">
      <c r="B160" s="110"/>
      <c r="C160" s="110"/>
      <c r="D160" s="110"/>
      <c r="E160" s="110"/>
      <c r="F160" s="110"/>
      <c r="G160" s="138"/>
      <c r="I160" s="138"/>
      <c r="J160" s="110"/>
    </row>
    <row r="161" spans="2:10" x14ac:dyDescent="0.3">
      <c r="B161" s="110"/>
      <c r="C161" s="110"/>
      <c r="D161" s="110"/>
      <c r="E161" s="110"/>
      <c r="F161" s="110"/>
      <c r="G161" s="138"/>
      <c r="I161" s="138"/>
      <c r="J161" s="110"/>
    </row>
    <row r="162" spans="2:10" x14ac:dyDescent="0.3">
      <c r="B162" s="110"/>
      <c r="C162" s="110"/>
      <c r="D162" s="110"/>
      <c r="E162" s="110"/>
      <c r="F162" s="110"/>
      <c r="G162" s="138"/>
      <c r="I162" s="138"/>
      <c r="J162" s="110"/>
    </row>
    <row r="163" spans="2:10" x14ac:dyDescent="0.3">
      <c r="B163" s="110"/>
      <c r="C163" s="110"/>
      <c r="D163" s="110"/>
      <c r="E163" s="110"/>
      <c r="F163" s="110"/>
      <c r="G163" s="138"/>
      <c r="I163" s="138"/>
      <c r="J163" s="110"/>
    </row>
    <row r="164" spans="2:10" x14ac:dyDescent="0.3">
      <c r="B164" s="110"/>
      <c r="C164" s="110"/>
      <c r="D164" s="110"/>
      <c r="E164" s="110"/>
      <c r="F164" s="110"/>
      <c r="G164" s="138"/>
      <c r="I164" s="138"/>
      <c r="J164" s="110"/>
    </row>
    <row r="165" spans="2:10" x14ac:dyDescent="0.3">
      <c r="B165" s="110"/>
      <c r="C165" s="110"/>
      <c r="D165" s="110"/>
      <c r="E165" s="110"/>
      <c r="F165" s="110"/>
      <c r="G165" s="138"/>
      <c r="I165" s="138"/>
      <c r="J165" s="110"/>
    </row>
    <row r="166" spans="2:10" x14ac:dyDescent="0.3">
      <c r="B166" s="110"/>
      <c r="C166" s="110"/>
      <c r="D166" s="110"/>
      <c r="E166" s="110"/>
      <c r="F166" s="110"/>
      <c r="G166" s="138"/>
      <c r="I166" s="138"/>
      <c r="J166" s="110"/>
    </row>
    <row r="167" spans="2:10" x14ac:dyDescent="0.3">
      <c r="B167" s="110"/>
      <c r="C167" s="110"/>
      <c r="D167" s="110"/>
      <c r="E167" s="110"/>
      <c r="F167" s="110"/>
      <c r="G167" s="138"/>
      <c r="I167" s="138"/>
      <c r="J167" s="110"/>
    </row>
    <row r="168" spans="2:10" x14ac:dyDescent="0.3">
      <c r="B168" s="110"/>
      <c r="C168" s="110"/>
      <c r="D168" s="110"/>
      <c r="E168" s="110"/>
      <c r="F168" s="110"/>
      <c r="G168" s="138"/>
      <c r="I168" s="138"/>
      <c r="J168" s="110"/>
    </row>
    <row r="169" spans="2:10" x14ac:dyDescent="0.3">
      <c r="B169" s="110"/>
      <c r="C169" s="110"/>
      <c r="D169" s="110"/>
      <c r="E169" s="110"/>
      <c r="F169" s="110"/>
      <c r="G169" s="138"/>
      <c r="I169" s="138"/>
      <c r="J169" s="110"/>
    </row>
    <row r="170" spans="2:10" x14ac:dyDescent="0.3">
      <c r="B170" s="110"/>
      <c r="C170" s="110"/>
      <c r="D170" s="110"/>
      <c r="E170" s="110"/>
      <c r="F170" s="110"/>
      <c r="G170" s="138"/>
      <c r="I170" s="138"/>
      <c r="J170" s="110"/>
    </row>
    <row r="171" spans="2:10" x14ac:dyDescent="0.3">
      <c r="B171" s="110"/>
      <c r="C171" s="110"/>
      <c r="D171" s="110"/>
      <c r="E171" s="110"/>
      <c r="F171" s="110"/>
      <c r="G171" s="138"/>
      <c r="I171" s="138"/>
      <c r="J171" s="110"/>
    </row>
    <row r="172" spans="2:10" x14ac:dyDescent="0.3">
      <c r="B172" s="110"/>
      <c r="C172" s="110"/>
      <c r="D172" s="110"/>
      <c r="E172" s="110"/>
      <c r="F172" s="110"/>
      <c r="G172" s="138"/>
      <c r="I172" s="138"/>
      <c r="J172" s="110"/>
    </row>
    <row r="173" spans="2:10" x14ac:dyDescent="0.3">
      <c r="B173" s="110"/>
      <c r="C173" s="110"/>
      <c r="D173" s="110"/>
      <c r="E173" s="110"/>
      <c r="F173" s="110"/>
      <c r="G173" s="138"/>
      <c r="I173" s="138"/>
      <c r="J173" s="110"/>
    </row>
    <row r="174" spans="2:10" x14ac:dyDescent="0.3">
      <c r="B174" s="110"/>
      <c r="C174" s="110"/>
      <c r="D174" s="110"/>
      <c r="E174" s="110"/>
      <c r="F174" s="110"/>
      <c r="G174" s="138"/>
      <c r="I174" s="138"/>
      <c r="J174" s="110"/>
    </row>
    <row r="175" spans="2:10" x14ac:dyDescent="0.3">
      <c r="B175" s="110"/>
      <c r="C175" s="110"/>
      <c r="D175" s="110"/>
      <c r="E175" s="110"/>
      <c r="F175" s="110"/>
      <c r="G175" s="138"/>
      <c r="I175" s="138"/>
      <c r="J175" s="110"/>
    </row>
    <row r="176" spans="2:10" x14ac:dyDescent="0.3">
      <c r="B176" s="110"/>
      <c r="C176" s="110"/>
      <c r="D176" s="110"/>
      <c r="E176" s="110"/>
      <c r="F176" s="110"/>
      <c r="G176" s="138"/>
      <c r="I176" s="138"/>
      <c r="J176" s="110"/>
    </row>
    <row r="177" spans="2:10" x14ac:dyDescent="0.3">
      <c r="B177" s="110"/>
      <c r="C177" s="110"/>
      <c r="D177" s="110"/>
      <c r="E177" s="110"/>
      <c r="F177" s="110"/>
      <c r="G177" s="138"/>
      <c r="I177" s="138"/>
      <c r="J177" s="110"/>
    </row>
    <row r="178" spans="2:10" x14ac:dyDescent="0.3">
      <c r="B178" s="110"/>
      <c r="C178" s="110"/>
      <c r="D178" s="110"/>
      <c r="E178" s="110"/>
      <c r="F178" s="110"/>
      <c r="G178" s="138"/>
      <c r="I178" s="138"/>
      <c r="J178" s="110"/>
    </row>
    <row r="179" spans="2:10" x14ac:dyDescent="0.3">
      <c r="B179" s="110"/>
      <c r="C179" s="110"/>
      <c r="D179" s="110"/>
      <c r="E179" s="110"/>
      <c r="F179" s="110"/>
      <c r="G179" s="138"/>
      <c r="I179" s="138"/>
      <c r="J179" s="110"/>
    </row>
    <row r="180" spans="2:10" x14ac:dyDescent="0.3">
      <c r="B180" s="110"/>
      <c r="C180" s="110"/>
      <c r="D180" s="110"/>
      <c r="E180" s="110"/>
      <c r="F180" s="110"/>
      <c r="G180" s="138"/>
      <c r="I180" s="138"/>
      <c r="J180" s="110"/>
    </row>
    <row r="181" spans="2:10" x14ac:dyDescent="0.3">
      <c r="B181" s="110"/>
      <c r="C181" s="110"/>
      <c r="D181" s="110"/>
      <c r="E181" s="110"/>
      <c r="F181" s="110"/>
      <c r="G181" s="138"/>
      <c r="I181" s="138"/>
      <c r="J181" s="110"/>
    </row>
    <row r="182" spans="2:10" x14ac:dyDescent="0.3">
      <c r="B182" s="110"/>
      <c r="C182" s="110"/>
      <c r="D182" s="110"/>
      <c r="E182" s="110"/>
      <c r="F182" s="110"/>
      <c r="G182" s="138"/>
      <c r="I182" s="138"/>
      <c r="J182" s="110"/>
    </row>
    <row r="183" spans="2:10" x14ac:dyDescent="0.3">
      <c r="B183" s="110"/>
      <c r="C183" s="110"/>
      <c r="D183" s="110"/>
      <c r="E183" s="110"/>
      <c r="F183" s="110"/>
      <c r="G183" s="138"/>
      <c r="I183" s="138"/>
      <c r="J183" s="110"/>
    </row>
    <row r="184" spans="2:10" x14ac:dyDescent="0.3">
      <c r="B184" s="110"/>
      <c r="C184" s="110"/>
      <c r="D184" s="110"/>
      <c r="E184" s="110"/>
      <c r="F184" s="110"/>
      <c r="G184" s="138"/>
      <c r="I184" s="138"/>
      <c r="J184" s="110"/>
    </row>
    <row r="185" spans="2:10" x14ac:dyDescent="0.3">
      <c r="B185" s="110"/>
      <c r="C185" s="110"/>
      <c r="D185" s="110"/>
      <c r="E185" s="110"/>
      <c r="F185" s="110"/>
      <c r="G185" s="138"/>
      <c r="I185" s="138"/>
      <c r="J185" s="110"/>
    </row>
    <row r="186" spans="2:10" x14ac:dyDescent="0.3">
      <c r="B186" s="110"/>
      <c r="C186" s="110"/>
      <c r="D186" s="110"/>
      <c r="E186" s="110"/>
      <c r="F186" s="110"/>
      <c r="G186" s="138"/>
      <c r="I186" s="138"/>
      <c r="J186" s="110"/>
    </row>
    <row r="187" spans="2:10" x14ac:dyDescent="0.3">
      <c r="B187" s="110"/>
      <c r="C187" s="110"/>
      <c r="D187" s="110"/>
      <c r="E187" s="110"/>
      <c r="F187" s="110"/>
      <c r="G187" s="138"/>
      <c r="I187" s="138"/>
      <c r="J187" s="110"/>
    </row>
    <row r="188" spans="2:10" x14ac:dyDescent="0.3">
      <c r="B188" s="110"/>
      <c r="C188" s="110"/>
      <c r="D188" s="110"/>
      <c r="E188" s="110"/>
      <c r="F188" s="110"/>
      <c r="G188" s="138"/>
      <c r="I188" s="138"/>
      <c r="J188" s="110"/>
    </row>
    <row r="189" spans="2:10" x14ac:dyDescent="0.3">
      <c r="B189" s="110"/>
      <c r="C189" s="110"/>
      <c r="D189" s="110"/>
      <c r="E189" s="110"/>
      <c r="F189" s="110"/>
      <c r="G189" s="138"/>
      <c r="I189" s="138"/>
      <c r="J189" s="110"/>
    </row>
    <row r="190" spans="2:10" x14ac:dyDescent="0.3">
      <c r="B190" s="110"/>
      <c r="C190" s="110"/>
      <c r="D190" s="110"/>
      <c r="E190" s="110"/>
      <c r="F190" s="110"/>
      <c r="G190" s="138"/>
      <c r="I190" s="138"/>
      <c r="J190" s="110"/>
    </row>
    <row r="191" spans="2:10" x14ac:dyDescent="0.3">
      <c r="B191" s="110"/>
      <c r="C191" s="110"/>
      <c r="D191" s="110"/>
      <c r="E191" s="110"/>
      <c r="F191" s="110"/>
      <c r="G191" s="138"/>
      <c r="I191" s="138"/>
      <c r="J191" s="110"/>
    </row>
    <row r="192" spans="2:10" x14ac:dyDescent="0.3">
      <c r="B192" s="110"/>
      <c r="C192" s="110"/>
      <c r="D192" s="110"/>
      <c r="E192" s="110"/>
      <c r="F192" s="110"/>
      <c r="G192" s="138"/>
      <c r="I192" s="138"/>
      <c r="J192" s="110"/>
    </row>
    <row r="193" spans="2:10" x14ac:dyDescent="0.3">
      <c r="B193" s="110"/>
      <c r="C193" s="110"/>
      <c r="D193" s="110"/>
      <c r="E193" s="110"/>
      <c r="F193" s="110"/>
      <c r="G193" s="138"/>
      <c r="I193" s="138"/>
      <c r="J193" s="110"/>
    </row>
    <row r="194" spans="2:10" x14ac:dyDescent="0.3">
      <c r="B194" s="110"/>
      <c r="C194" s="110"/>
      <c r="D194" s="110"/>
      <c r="E194" s="110"/>
      <c r="F194" s="110"/>
      <c r="G194" s="138"/>
      <c r="I194" s="138"/>
      <c r="J194" s="110"/>
    </row>
    <row r="195" spans="2:10" x14ac:dyDescent="0.3">
      <c r="B195" s="110"/>
      <c r="C195" s="110"/>
      <c r="D195" s="110"/>
      <c r="E195" s="110"/>
      <c r="F195" s="110"/>
      <c r="G195" s="138"/>
      <c r="I195" s="138"/>
      <c r="J195" s="110"/>
    </row>
    <row r="196" spans="2:10" x14ac:dyDescent="0.3">
      <c r="B196" s="110"/>
      <c r="C196" s="110"/>
      <c r="D196" s="110"/>
      <c r="E196" s="110"/>
      <c r="F196" s="110"/>
      <c r="G196" s="138"/>
      <c r="I196" s="138"/>
      <c r="J196" s="110"/>
    </row>
  </sheetData>
  <phoneticPr fontId="31" type="noConversion"/>
  <printOptions gridLines="1"/>
  <pageMargins left="0.25" right="0.25" top="1" bottom="1" header="0.5" footer="0.5"/>
  <pageSetup scale="79" orientation="landscape" r:id="rId1"/>
  <headerFooter alignWithMargins="0">
    <oddFooter>&amp;L&amp;Z&amp;F
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 tint="0.59999389629810485"/>
    <pageSetUpPr fitToPage="1"/>
  </sheetPr>
  <dimension ref="A1:N72"/>
  <sheetViews>
    <sheetView topLeftCell="A31" zoomScale="80" zoomScaleNormal="80" workbookViewId="0">
      <selection activeCell="A4" sqref="A4"/>
    </sheetView>
  </sheetViews>
  <sheetFormatPr defaultColWidth="5.6640625" defaultRowHeight="13.8" x14ac:dyDescent="0.25"/>
  <cols>
    <col min="1" max="1" width="53.6640625" style="3" customWidth="1"/>
    <col min="2" max="2" width="14.88671875" style="9" customWidth="1"/>
    <col min="3" max="3" width="14.88671875" style="75" customWidth="1"/>
    <col min="4" max="4" width="14.88671875" style="9" customWidth="1"/>
    <col min="5" max="5" width="14.88671875" style="812" customWidth="1"/>
    <col min="6" max="6" width="18.6640625" style="9" customWidth="1"/>
    <col min="7" max="7" width="14.88671875" style="9" customWidth="1"/>
    <col min="8" max="8" width="15.6640625" style="3" bestFit="1" customWidth="1"/>
    <col min="9" max="9" width="12.5546875" style="3" customWidth="1"/>
    <col min="10" max="10" width="13.5546875" style="75" bestFit="1" customWidth="1"/>
    <col min="11" max="11" width="5.6640625" style="3"/>
    <col min="12" max="12" width="14.109375" style="1023" bestFit="1" customWidth="1"/>
    <col min="13" max="13" width="13.44140625" style="3" bestFit="1" customWidth="1"/>
    <col min="14" max="14" width="7.44140625" style="3" bestFit="1" customWidth="1"/>
    <col min="15" max="16384" width="5.6640625" style="3"/>
  </cols>
  <sheetData>
    <row r="1" spans="1:13" ht="20.399999999999999" x14ac:dyDescent="0.35">
      <c r="A1" s="1244" t="s">
        <v>83</v>
      </c>
      <c r="B1" s="1244"/>
      <c r="C1" s="1244"/>
      <c r="D1" s="1244"/>
      <c r="E1" s="1244"/>
      <c r="F1" s="1244"/>
      <c r="G1" s="1244"/>
      <c r="H1"/>
    </row>
    <row r="2" spans="1:13" ht="20.399999999999999" x14ac:dyDescent="0.35">
      <c r="A2" s="1244" t="s">
        <v>4</v>
      </c>
      <c r="B2" s="1244"/>
      <c r="C2" s="1244"/>
      <c r="D2" s="1244"/>
      <c r="E2" s="1244"/>
      <c r="F2" s="1244"/>
      <c r="G2" s="1244"/>
      <c r="H2"/>
    </row>
    <row r="3" spans="1:13" ht="20.399999999999999" x14ac:dyDescent="0.35">
      <c r="A3" s="1244" t="s">
        <v>548</v>
      </c>
      <c r="B3" s="1244"/>
      <c r="C3" s="1244"/>
      <c r="D3" s="1244"/>
      <c r="E3" s="1244"/>
      <c r="F3" s="1244"/>
      <c r="G3" s="1244"/>
      <c r="H3"/>
    </row>
    <row r="4" spans="1:13" ht="14.25" customHeight="1" thickBot="1" x14ac:dyDescent="0.4">
      <c r="A4" s="45"/>
      <c r="B4" s="77"/>
      <c r="C4" s="77"/>
      <c r="D4" s="77"/>
      <c r="E4" s="809"/>
      <c r="F4" s="77"/>
      <c r="G4" s="77"/>
      <c r="H4"/>
    </row>
    <row r="5" spans="1:13" s="5" customFormat="1" ht="18" thickBot="1" x14ac:dyDescent="0.35">
      <c r="A5" s="59"/>
      <c r="B5" s="1249" t="s">
        <v>275</v>
      </c>
      <c r="C5" s="1250"/>
      <c r="D5" s="1251"/>
      <c r="E5" s="1249" t="s">
        <v>30</v>
      </c>
      <c r="F5" s="1250"/>
      <c r="G5" s="1251"/>
      <c r="H5"/>
      <c r="I5" s="1019" t="s">
        <v>502</v>
      </c>
      <c r="J5" s="1114" t="s">
        <v>461</v>
      </c>
      <c r="L5" s="1024"/>
    </row>
    <row r="6" spans="1:13" s="5" customFormat="1" ht="17.25" customHeight="1" x14ac:dyDescent="0.3">
      <c r="A6" s="57" t="s">
        <v>52</v>
      </c>
      <c r="B6" s="889" t="s">
        <v>2</v>
      </c>
      <c r="C6" s="890" t="s">
        <v>17</v>
      </c>
      <c r="D6" s="891" t="s">
        <v>71</v>
      </c>
      <c r="E6" s="378" t="s">
        <v>2</v>
      </c>
      <c r="F6" s="895" t="s">
        <v>49</v>
      </c>
      <c r="G6" s="307" t="s">
        <v>71</v>
      </c>
      <c r="H6"/>
      <c r="I6"/>
      <c r="J6" s="46"/>
      <c r="L6" s="1024"/>
    </row>
    <row r="7" spans="1:13" s="6" customFormat="1" x14ac:dyDescent="0.25">
      <c r="A7" s="32" t="s">
        <v>31</v>
      </c>
      <c r="B7" s="81"/>
      <c r="C7" s="82"/>
      <c r="D7" s="83"/>
      <c r="E7" s="896"/>
      <c r="F7" s="897"/>
      <c r="G7" s="83"/>
      <c r="H7"/>
      <c r="I7"/>
      <c r="J7" s="46"/>
      <c r="L7" s="1025"/>
    </row>
    <row r="8" spans="1:13" s="7" customFormat="1" ht="16.5" customHeight="1" x14ac:dyDescent="0.25">
      <c r="A8" s="33" t="s">
        <v>5</v>
      </c>
      <c r="B8" s="37"/>
      <c r="C8" s="25"/>
      <c r="D8" s="26"/>
      <c r="E8" s="24"/>
      <c r="F8" s="25"/>
      <c r="G8" s="26"/>
      <c r="H8"/>
      <c r="I8"/>
      <c r="J8" s="46"/>
      <c r="L8" s="1026"/>
    </row>
    <row r="9" spans="1:13" s="7" customFormat="1" ht="16.5" customHeight="1" x14ac:dyDescent="0.25">
      <c r="A9" s="85" t="s">
        <v>57</v>
      </c>
      <c r="B9" s="24">
        <f>+essbal!D5/1000</f>
        <v>53159.547429999991</v>
      </c>
      <c r="C9" s="97">
        <f>+essbal!E5/1000</f>
        <v>0</v>
      </c>
      <c r="D9" s="26">
        <f>B9-C9</f>
        <v>53159.547429999991</v>
      </c>
      <c r="E9" s="90">
        <f>+essbal!D5/1000</f>
        <v>53159.547429999991</v>
      </c>
      <c r="F9" s="97">
        <f>+essbal!G5/1000</f>
        <v>0</v>
      </c>
      <c r="G9" s="26">
        <f>E9-F9</f>
        <v>53159.547429999991</v>
      </c>
      <c r="H9"/>
      <c r="I9" s="46">
        <v>25455</v>
      </c>
      <c r="J9" s="1021">
        <f>+I9-B9</f>
        <v>-27704.547429999991</v>
      </c>
      <c r="L9" s="1026"/>
    </row>
    <row r="10" spans="1:13" s="7" customFormat="1" ht="16.5" customHeight="1" x14ac:dyDescent="0.25">
      <c r="A10" s="34" t="s">
        <v>58</v>
      </c>
      <c r="B10" s="24">
        <f>+essbal!D7/1000</f>
        <v>-14368.807579999957</v>
      </c>
      <c r="C10" s="97">
        <f>+essbal!E7/1000</f>
        <v>0</v>
      </c>
      <c r="D10" s="26">
        <f>B10-C10</f>
        <v>-14368.807579999957</v>
      </c>
      <c r="E10" s="90">
        <f>+essbal!D7/1000</f>
        <v>-14368.807579999957</v>
      </c>
      <c r="F10" s="97">
        <f>+essbal!G7/1000</f>
        <v>0</v>
      </c>
      <c r="G10" s="26">
        <f>E10-F10</f>
        <v>-14368.807579999957</v>
      </c>
      <c r="H10"/>
      <c r="I10" s="46">
        <v>38910</v>
      </c>
      <c r="J10" s="46">
        <f>+I10-B10</f>
        <v>53278.807579999957</v>
      </c>
      <c r="L10" s="1202">
        <f>+cashflow!E26</f>
        <v>45471.540049999894</v>
      </c>
      <c r="M10" s="1113"/>
    </row>
    <row r="11" spans="1:13" s="7" customFormat="1" ht="16.5" customHeight="1" x14ac:dyDescent="0.25">
      <c r="A11" s="85" t="s">
        <v>113</v>
      </c>
      <c r="B11" s="24">
        <f>+essbal!D8/1000</f>
        <v>6369.7208899999996</v>
      </c>
      <c r="C11" s="97">
        <f>+essbal!E8/1000</f>
        <v>0</v>
      </c>
      <c r="D11" s="26">
        <f>B11-C11</f>
        <v>6369.7208899999996</v>
      </c>
      <c r="E11" s="90">
        <f>+essbal!D8/1000</f>
        <v>6369.7208899999996</v>
      </c>
      <c r="F11" s="97">
        <f>+essbal!G8/1000</f>
        <v>0</v>
      </c>
      <c r="G11" s="26">
        <f>E11-F11</f>
        <v>6369.7208899999996</v>
      </c>
      <c r="H11"/>
      <c r="I11" s="46">
        <v>6614</v>
      </c>
      <c r="J11" s="46">
        <f>+I11-B11</f>
        <v>244.2791100000004</v>
      </c>
      <c r="L11" s="1202">
        <f>+cashflow!E25</f>
        <v>243.92891000000014</v>
      </c>
    </row>
    <row r="12" spans="1:13" s="6" customFormat="1" ht="16.5" customHeight="1" x14ac:dyDescent="0.25">
      <c r="A12" s="33" t="s">
        <v>32</v>
      </c>
      <c r="B12" s="35">
        <f t="shared" ref="B12:G12" si="0">SUM(B9:B11)</f>
        <v>45160.460740000031</v>
      </c>
      <c r="C12" s="103">
        <f t="shared" si="0"/>
        <v>0</v>
      </c>
      <c r="D12" s="73">
        <f t="shared" si="0"/>
        <v>45160.460740000031</v>
      </c>
      <c r="E12" s="35">
        <f t="shared" si="0"/>
        <v>45160.460740000031</v>
      </c>
      <c r="F12" s="898">
        <f t="shared" si="0"/>
        <v>0</v>
      </c>
      <c r="G12" s="73">
        <f t="shared" si="0"/>
        <v>45160.460740000031</v>
      </c>
      <c r="H12"/>
      <c r="I12" s="1020">
        <f>SUM(I9:I11)</f>
        <v>70979</v>
      </c>
      <c r="J12" s="1020">
        <f>+J10+J11</f>
        <v>53523.08668999996</v>
      </c>
      <c r="L12" s="1025"/>
    </row>
    <row r="13" spans="1:13" s="6" customFormat="1" ht="9.9" customHeight="1" x14ac:dyDescent="0.25">
      <c r="A13" s="32"/>
      <c r="B13" s="835"/>
      <c r="C13" s="91"/>
      <c r="D13" s="36"/>
      <c r="E13" s="90"/>
      <c r="F13" s="89"/>
      <c r="G13" s="36"/>
      <c r="H13"/>
      <c r="I13" s="46"/>
      <c r="J13" s="46"/>
      <c r="L13" s="1025"/>
    </row>
    <row r="14" spans="1:13" s="7" customFormat="1" ht="16.5" customHeight="1" x14ac:dyDescent="0.25">
      <c r="A14" s="33" t="s">
        <v>65</v>
      </c>
      <c r="B14" s="37"/>
      <c r="C14" s="89"/>
      <c r="D14" s="26"/>
      <c r="E14" s="90"/>
      <c r="F14" s="89"/>
      <c r="G14" s="26"/>
      <c r="H14"/>
      <c r="I14" s="46"/>
      <c r="J14" s="46"/>
      <c r="L14" s="1026"/>
    </row>
    <row r="15" spans="1:13" s="7" customFormat="1" ht="16.5" customHeight="1" x14ac:dyDescent="0.25">
      <c r="A15" s="34" t="s">
        <v>66</v>
      </c>
      <c r="B15" s="24">
        <f>+essbal!D10/1000-B17</f>
        <v>430117.66011</v>
      </c>
      <c r="C15" s="89">
        <f>essbal!E10/1000-C17</f>
        <v>0</v>
      </c>
      <c r="D15" s="26">
        <f>B15-C15</f>
        <v>430117.66011</v>
      </c>
      <c r="E15" s="90">
        <f>essbal!D10/1000-B17</f>
        <v>430117.66011</v>
      </c>
      <c r="F15" s="97">
        <f>essbal!G10/1000-F17</f>
        <v>0</v>
      </c>
      <c r="G15" s="26">
        <f t="shared" ref="G15:G21" si="1">E15-F15</f>
        <v>430117.66011</v>
      </c>
      <c r="H15" s="48"/>
      <c r="I15" s="46">
        <f>463232-36911</f>
        <v>426321</v>
      </c>
      <c r="J15" s="46">
        <f>+I15-B15</f>
        <v>-3796.6601099999971</v>
      </c>
      <c r="L15" s="1202">
        <f>+cashflow!E37</f>
        <v>-4114.7378999999164</v>
      </c>
    </row>
    <row r="16" spans="1:13" s="7" customFormat="1" ht="16.5" customHeight="1" x14ac:dyDescent="0.25">
      <c r="A16" s="34" t="s">
        <v>110</v>
      </c>
      <c r="B16" s="24">
        <f>+essbal!D11/1000-B18</f>
        <v>-348208.77250000002</v>
      </c>
      <c r="C16" s="89">
        <f>essbal!E11/1000-C18</f>
        <v>0</v>
      </c>
      <c r="D16" s="26">
        <f>B16-C16</f>
        <v>-348208.77250000002</v>
      </c>
      <c r="E16" s="90">
        <f>essbal!D11/1000-B18</f>
        <v>-348208.77250000002</v>
      </c>
      <c r="F16" s="97">
        <f>essbal!G11/1000-F18</f>
        <v>0</v>
      </c>
      <c r="G16" s="26">
        <f t="shared" si="1"/>
        <v>-348208.77250000002</v>
      </c>
      <c r="H16" s="48"/>
      <c r="I16" s="46">
        <f>-369809+29190</f>
        <v>-340619</v>
      </c>
      <c r="J16" s="46">
        <f>+I16-B16</f>
        <v>7589.772500000021</v>
      </c>
      <c r="L16" s="1202">
        <f>+cashflow!E15</f>
        <v>9264.3905300000315</v>
      </c>
    </row>
    <row r="17" spans="1:12" s="7" customFormat="1" ht="16.5" customHeight="1" x14ac:dyDescent="0.25">
      <c r="A17" s="34" t="s">
        <v>107</v>
      </c>
      <c r="B17" s="24">
        <f>+essbal!D12/1000</f>
        <v>37229.399899999997</v>
      </c>
      <c r="C17" s="89">
        <f>essbal!E12/1000</f>
        <v>0</v>
      </c>
      <c r="D17" s="26">
        <f>B17-C17</f>
        <v>37229.399899999997</v>
      </c>
      <c r="E17" s="90">
        <f>essbal!D12/1000</f>
        <v>37229.399899999997</v>
      </c>
      <c r="F17" s="89">
        <f>essbal!G12/1000</f>
        <v>0</v>
      </c>
      <c r="G17" s="26">
        <f t="shared" si="1"/>
        <v>37229.399899999997</v>
      </c>
      <c r="H17" s="48"/>
      <c r="I17" s="46">
        <v>36911</v>
      </c>
      <c r="J17" s="46">
        <f>+I17-B17</f>
        <v>-318.39989999999671</v>
      </c>
      <c r="L17" s="1026"/>
    </row>
    <row r="18" spans="1:12" s="7" customFormat="1" ht="16.5" customHeight="1" x14ac:dyDescent="0.25">
      <c r="A18" s="34" t="s">
        <v>110</v>
      </c>
      <c r="B18" s="30">
        <f>+essbal!D13/1000</f>
        <v>-30864.411969999997</v>
      </c>
      <c r="C18" s="92">
        <f>essbal!E13/1000</f>
        <v>0</v>
      </c>
      <c r="D18" s="31">
        <f>B18-C18</f>
        <v>-30864.411969999997</v>
      </c>
      <c r="E18" s="99">
        <f>essbal!D13/1000</f>
        <v>-30864.411969999997</v>
      </c>
      <c r="F18" s="92">
        <f>essbal!G13/1000</f>
        <v>0</v>
      </c>
      <c r="G18" s="31">
        <f t="shared" si="1"/>
        <v>-30864.411969999997</v>
      </c>
      <c r="H18" s="48"/>
      <c r="I18" s="1022">
        <v>-29190</v>
      </c>
      <c r="J18" s="1022">
        <f>+I18-B18</f>
        <v>1674.4119699999974</v>
      </c>
      <c r="L18" s="1026"/>
    </row>
    <row r="19" spans="1:12" s="7" customFormat="1" ht="16.5" customHeight="1" x14ac:dyDescent="0.25">
      <c r="A19" s="34" t="s">
        <v>111</v>
      </c>
      <c r="B19" s="24">
        <f t="shared" ref="B19:G19" si="2">SUM(B15:B18)</f>
        <v>88273.875539999965</v>
      </c>
      <c r="C19" s="89">
        <f t="shared" si="2"/>
        <v>0</v>
      </c>
      <c r="D19" s="26">
        <f t="shared" si="2"/>
        <v>88273.875539999965</v>
      </c>
      <c r="E19" s="90">
        <f t="shared" si="2"/>
        <v>88273.875539999965</v>
      </c>
      <c r="F19" s="89">
        <f t="shared" si="2"/>
        <v>0</v>
      </c>
      <c r="G19" s="26">
        <f t="shared" si="2"/>
        <v>88273.875539999965</v>
      </c>
      <c r="H19" s="48"/>
      <c r="I19" s="46">
        <f>SUM(I15:I18)</f>
        <v>93423</v>
      </c>
      <c r="J19" s="46">
        <f>SUM(J15:J18)</f>
        <v>5149.1244600000246</v>
      </c>
      <c r="L19" s="1026"/>
    </row>
    <row r="20" spans="1:12" s="7" customFormat="1" ht="16.5" customHeight="1" x14ac:dyDescent="0.25">
      <c r="A20" s="34" t="s">
        <v>98</v>
      </c>
      <c r="B20" s="24">
        <f>+essbal!D14/1000</f>
        <v>12.19777999997139</v>
      </c>
      <c r="C20" s="89">
        <f>+essbal!E14/1000</f>
        <v>0</v>
      </c>
      <c r="D20" s="26">
        <f>B20-C20</f>
        <v>12.19777999997139</v>
      </c>
      <c r="E20" s="90">
        <f>+essbal!D14/1000</f>
        <v>12.19777999997139</v>
      </c>
      <c r="F20" s="89">
        <f>+essbal!G14/1000</f>
        <v>0</v>
      </c>
      <c r="G20" s="26">
        <f t="shared" si="1"/>
        <v>12.19777999997139</v>
      </c>
      <c r="H20"/>
      <c r="I20" s="46">
        <v>0</v>
      </c>
      <c r="J20" s="46">
        <f>+I20-B20</f>
        <v>-12.19777999997139</v>
      </c>
      <c r="L20" s="1026"/>
    </row>
    <row r="21" spans="1:12" s="7" customFormat="1" ht="16.5" customHeight="1" x14ac:dyDescent="0.25">
      <c r="A21" s="85" t="s">
        <v>120</v>
      </c>
      <c r="B21" s="90">
        <f>+essbal!D15/1000</f>
        <v>12392.486620000056</v>
      </c>
      <c r="C21" s="89">
        <f>essbal!E15/1000</f>
        <v>0</v>
      </c>
      <c r="D21" s="26">
        <f>B21-C21</f>
        <v>12392.486620000056</v>
      </c>
      <c r="E21" s="99">
        <f>essbal!D15/1000</f>
        <v>12392.486620000056</v>
      </c>
      <c r="F21" s="92">
        <f>essbal!G15/1000</f>
        <v>0</v>
      </c>
      <c r="G21" s="26">
        <f t="shared" si="1"/>
        <v>12392.486620000056</v>
      </c>
      <c r="H21" s="48"/>
      <c r="I21" s="46">
        <v>11623</v>
      </c>
      <c r="J21" s="46">
        <f>+I21-B21</f>
        <v>-769.48662000005606</v>
      </c>
      <c r="L21" s="1202">
        <f>+cashflow!E36</f>
        <v>-781.37248000013824</v>
      </c>
    </row>
    <row r="22" spans="1:12" s="7" customFormat="1" ht="16.5" customHeight="1" x14ac:dyDescent="0.25">
      <c r="A22" s="33" t="s">
        <v>67</v>
      </c>
      <c r="B22" s="35">
        <f t="shared" ref="B22:G22" si="3">SUM(B19:B21)</f>
        <v>100678.55993999999</v>
      </c>
      <c r="C22" s="103">
        <f t="shared" si="3"/>
        <v>0</v>
      </c>
      <c r="D22" s="73">
        <f t="shared" si="3"/>
        <v>100678.55993999999</v>
      </c>
      <c r="E22" s="899">
        <f t="shared" si="3"/>
        <v>100678.55993999999</v>
      </c>
      <c r="F22" s="900">
        <f t="shared" si="3"/>
        <v>0</v>
      </c>
      <c r="G22" s="73">
        <f t="shared" si="3"/>
        <v>100678.55993999999</v>
      </c>
      <c r="H22"/>
      <c r="I22" s="1020">
        <f>SUM(I19:I21)</f>
        <v>105046</v>
      </c>
      <c r="J22" s="1020">
        <f>SUM(J19:J21)</f>
        <v>4367.4400599999972</v>
      </c>
      <c r="L22" s="1026"/>
    </row>
    <row r="23" spans="1:12" s="7" customFormat="1" ht="9.9" customHeight="1" x14ac:dyDescent="0.25">
      <c r="A23" s="34" t="s">
        <v>15</v>
      </c>
      <c r="B23" s="37"/>
      <c r="C23" s="636"/>
      <c r="D23" s="26"/>
      <c r="E23" s="90"/>
      <c r="F23" s="89"/>
      <c r="G23" s="26"/>
      <c r="H23"/>
      <c r="I23" s="46"/>
      <c r="J23" s="46"/>
      <c r="L23" s="1026"/>
    </row>
    <row r="24" spans="1:12" s="7" customFormat="1" ht="16.5" customHeight="1" x14ac:dyDescent="0.25">
      <c r="A24" s="33" t="s">
        <v>6</v>
      </c>
      <c r="B24" s="835"/>
      <c r="C24" s="97"/>
      <c r="D24" s="36"/>
      <c r="E24" s="90"/>
      <c r="F24" s="89"/>
      <c r="G24" s="36"/>
      <c r="H24"/>
      <c r="I24" s="46"/>
      <c r="J24" s="46"/>
      <c r="L24" s="1026"/>
    </row>
    <row r="25" spans="1:12" s="7" customFormat="1" ht="16.5" customHeight="1" x14ac:dyDescent="0.25">
      <c r="A25" s="34" t="s">
        <v>112</v>
      </c>
      <c r="B25" s="24">
        <f>essbal!D21/1000</f>
        <v>41900.963400000001</v>
      </c>
      <c r="C25" s="97">
        <f>essbal!E21/1000</f>
        <v>0</v>
      </c>
      <c r="D25" s="26">
        <f>B25-C25</f>
        <v>41900.963400000001</v>
      </c>
      <c r="E25" s="90">
        <f>essbal!D21/1000</f>
        <v>41900.963400000001</v>
      </c>
      <c r="F25" s="89">
        <f>essbal!G21/1000</f>
        <v>0</v>
      </c>
      <c r="G25" s="26">
        <f>E25-F25</f>
        <v>41900.963400000001</v>
      </c>
      <c r="H25" s="48"/>
      <c r="I25" s="338">
        <v>40355</v>
      </c>
      <c r="J25" s="338">
        <f>+I25-B25</f>
        <v>-1545.9634000000005</v>
      </c>
      <c r="L25" s="1202">
        <f>+cashflow!E35+cashflow!E18</f>
        <v>-1546.4185</v>
      </c>
    </row>
    <row r="26" spans="1:12" s="7" customFormat="1" ht="16.5" customHeight="1" x14ac:dyDescent="0.25">
      <c r="A26" s="85" t="s">
        <v>532</v>
      </c>
      <c r="B26" s="30">
        <f>essbal!D22/1000</f>
        <v>54315.54621</v>
      </c>
      <c r="C26" s="485">
        <f>essbal!E22/1000</f>
        <v>0</v>
      </c>
      <c r="D26" s="31">
        <f>B26-C26</f>
        <v>54315.54621</v>
      </c>
      <c r="E26" s="99">
        <f>essbal!D22/1000</f>
        <v>54315.54621</v>
      </c>
      <c r="F26" s="92">
        <f>essbal!G22/1000</f>
        <v>0</v>
      </c>
      <c r="G26" s="31">
        <f>E26-F26</f>
        <v>54315.54621</v>
      </c>
      <c r="H26" s="48"/>
      <c r="I26" s="338">
        <v>65064</v>
      </c>
      <c r="J26" s="338">
        <f>+I26-B26</f>
        <v>10748.45379</v>
      </c>
      <c r="L26" s="1202"/>
    </row>
    <row r="27" spans="1:12" s="7" customFormat="1" ht="16.5" customHeight="1" x14ac:dyDescent="0.25">
      <c r="A27" s="33" t="s">
        <v>33</v>
      </c>
      <c r="B27" s="99">
        <f t="shared" ref="B27:G27" si="4">SUM(B25:B26)</f>
        <v>96216.509610000008</v>
      </c>
      <c r="C27" s="97">
        <f t="shared" si="4"/>
        <v>0</v>
      </c>
      <c r="D27" s="95">
        <f t="shared" si="4"/>
        <v>96216.509610000008</v>
      </c>
      <c r="E27" s="99">
        <f t="shared" si="4"/>
        <v>96216.509610000008</v>
      </c>
      <c r="F27" s="92">
        <f t="shared" si="4"/>
        <v>0</v>
      </c>
      <c r="G27" s="95">
        <f t="shared" si="4"/>
        <v>96216.509610000008</v>
      </c>
      <c r="H27"/>
      <c r="I27" s="1020">
        <f>SUM(I25:I26)</f>
        <v>105419</v>
      </c>
      <c r="J27" s="1020">
        <f>SUM(J25:J26)</f>
        <v>9202.490389999999</v>
      </c>
      <c r="L27" s="1026"/>
    </row>
    <row r="28" spans="1:12" s="8" customFormat="1" ht="16.5" customHeight="1" thickBot="1" x14ac:dyDescent="0.3">
      <c r="A28" s="40" t="s">
        <v>34</v>
      </c>
      <c r="B28" s="100">
        <f t="shared" ref="B28:G28" si="5">B27+B22+B12</f>
        <v>242055.53029000005</v>
      </c>
      <c r="C28" s="637">
        <f t="shared" si="5"/>
        <v>0</v>
      </c>
      <c r="D28" s="101">
        <f t="shared" si="5"/>
        <v>242055.53029000005</v>
      </c>
      <c r="E28" s="100">
        <f t="shared" si="5"/>
        <v>242055.53029000005</v>
      </c>
      <c r="F28" s="901">
        <f t="shared" si="5"/>
        <v>0</v>
      </c>
      <c r="G28" s="101">
        <f t="shared" si="5"/>
        <v>242055.53029000005</v>
      </c>
      <c r="H28"/>
      <c r="I28" s="1020">
        <f>+I12+I22+I25</f>
        <v>216380</v>
      </c>
      <c r="J28" s="1020">
        <f>+J12+J22+J25</f>
        <v>56344.56334999996</v>
      </c>
      <c r="L28" s="1027"/>
    </row>
    <row r="29" spans="1:12" ht="16.5" customHeight="1" thickTop="1" x14ac:dyDescent="0.25">
      <c r="A29" s="38"/>
      <c r="B29" s="836"/>
      <c r="C29" s="638"/>
      <c r="D29" s="39"/>
      <c r="E29" s="836"/>
      <c r="F29" s="902"/>
      <c r="G29" s="39"/>
      <c r="H29"/>
      <c r="I29" s="46"/>
      <c r="J29" s="46"/>
    </row>
    <row r="30" spans="1:12" s="6" customFormat="1" ht="16.5" customHeight="1" x14ac:dyDescent="0.25">
      <c r="A30" s="40" t="s">
        <v>35</v>
      </c>
      <c r="B30" s="837"/>
      <c r="C30" s="639"/>
      <c r="D30" s="41"/>
      <c r="E30" s="837"/>
      <c r="F30" s="903"/>
      <c r="G30" s="41"/>
      <c r="H30"/>
      <c r="I30" s="46"/>
      <c r="J30" s="46"/>
      <c r="L30" s="1025"/>
    </row>
    <row r="31" spans="1:12" s="7" customFormat="1" ht="16.5" customHeight="1" x14ac:dyDescent="0.25">
      <c r="A31" s="34" t="s">
        <v>36</v>
      </c>
      <c r="B31" s="24">
        <f>+(essbal!D26+essbal!D28+essbal!D29+essbal!D30)/1000*-1-B35</f>
        <v>29940.561819999988</v>
      </c>
      <c r="C31" s="107">
        <f>+(essbal!E26+essbal!E28+essbal!E29+essbal!E30)/1000*-1-C35</f>
        <v>0</v>
      </c>
      <c r="D31" s="93">
        <f t="shared" ref="D31:D37" si="6">B31-C31</f>
        <v>29940.561819999988</v>
      </c>
      <c r="E31" s="90">
        <f>+(essbal!D26+essbal!D28+essbal!D29+essbal!D30)/1000*-1-B35</f>
        <v>29940.561819999988</v>
      </c>
      <c r="F31" s="107">
        <v>0</v>
      </c>
      <c r="G31" s="26">
        <f t="shared" ref="G31:G37" si="7">E31-F31</f>
        <v>29940.561819999988</v>
      </c>
      <c r="H31"/>
      <c r="I31" s="46">
        <v>38182</v>
      </c>
      <c r="J31" s="46">
        <f t="shared" ref="J31:J37" si="8">+B31-I31</f>
        <v>-8241.4381800000119</v>
      </c>
      <c r="L31" s="1202">
        <f>+cashflow!E22</f>
        <v>-9020.7221299999965</v>
      </c>
    </row>
    <row r="32" spans="1:12" s="7" customFormat="1" ht="16.5" customHeight="1" x14ac:dyDescent="0.25">
      <c r="A32" s="85" t="s">
        <v>90</v>
      </c>
      <c r="B32" s="24">
        <f>(-essbal!D31)/1000</f>
        <v>0</v>
      </c>
      <c r="C32" s="107">
        <f>(-essbal!E31)/1000</f>
        <v>0</v>
      </c>
      <c r="D32" s="93">
        <f t="shared" si="6"/>
        <v>0</v>
      </c>
      <c r="E32" s="24">
        <f>(-essbal!D31)/1000</f>
        <v>0</v>
      </c>
      <c r="F32" s="107">
        <f>(-essbal!G31)/1000</f>
        <v>0</v>
      </c>
      <c r="G32" s="26">
        <f t="shared" si="7"/>
        <v>0</v>
      </c>
      <c r="H32"/>
      <c r="I32" s="46">
        <v>0</v>
      </c>
      <c r="J32" s="46">
        <f t="shared" si="8"/>
        <v>0</v>
      </c>
      <c r="L32" s="1026"/>
    </row>
    <row r="33" spans="1:14" s="7" customFormat="1" ht="16.5" customHeight="1" x14ac:dyDescent="0.25">
      <c r="A33" s="85" t="s">
        <v>439</v>
      </c>
      <c r="B33" s="24">
        <f>(-essbal!D32)/1000</f>
        <v>120000</v>
      </c>
      <c r="C33" s="107">
        <f>-essbal!E25/1000</f>
        <v>0</v>
      </c>
      <c r="D33" s="93">
        <f t="shared" si="6"/>
        <v>120000</v>
      </c>
      <c r="E33" s="24">
        <f>(-essbal!D32)/1000</f>
        <v>120000</v>
      </c>
      <c r="F33" s="107">
        <f>(-essbal!G32)/1000</f>
        <v>0</v>
      </c>
      <c r="G33" s="26">
        <f t="shared" si="7"/>
        <v>120000</v>
      </c>
      <c r="H33"/>
      <c r="I33" s="46">
        <v>90000</v>
      </c>
      <c r="J33" s="46">
        <f t="shared" si="8"/>
        <v>30000</v>
      </c>
      <c r="L33" s="1026">
        <f>+cashflow!E43</f>
        <v>30000</v>
      </c>
    </row>
    <row r="34" spans="1:14" s="7" customFormat="1" ht="16.5" customHeight="1" x14ac:dyDescent="0.25">
      <c r="A34" s="34" t="s">
        <v>37</v>
      </c>
      <c r="B34" s="24">
        <f>+essbal!D34/1000*-1</f>
        <v>185.37705000000005</v>
      </c>
      <c r="C34" s="97">
        <f>+essbal!E34/1000*-1</f>
        <v>0</v>
      </c>
      <c r="D34" s="94">
        <f t="shared" si="6"/>
        <v>185.37705000000005</v>
      </c>
      <c r="E34" s="24">
        <f>+essbal!D34/1000*-1</f>
        <v>185.37705000000005</v>
      </c>
      <c r="F34" s="89">
        <f>+essbal!G34/1000*-1</f>
        <v>0</v>
      </c>
      <c r="G34" s="26">
        <f t="shared" si="7"/>
        <v>185.37705000000005</v>
      </c>
      <c r="H34"/>
      <c r="I34" s="46">
        <v>315</v>
      </c>
      <c r="J34" s="46">
        <f t="shared" si="8"/>
        <v>-129.62294999999995</v>
      </c>
      <c r="L34" s="1203">
        <f>+cashflow!E24</f>
        <v>-130.19999999999999</v>
      </c>
    </row>
    <row r="35" spans="1:14" s="194" customFormat="1" ht="16.5" customHeight="1" x14ac:dyDescent="0.25">
      <c r="A35" s="85" t="s">
        <v>404</v>
      </c>
      <c r="B35" s="764">
        <f>-essbal!D27/1000</f>
        <v>12551.32165</v>
      </c>
      <c r="C35" s="765">
        <f>-essbal!E27/1000</f>
        <v>0</v>
      </c>
      <c r="D35" s="93">
        <f t="shared" si="6"/>
        <v>12551.32165</v>
      </c>
      <c r="E35" s="764">
        <f>-essbal!D27/1000</f>
        <v>12551.32165</v>
      </c>
      <c r="F35" s="765">
        <f>-essbal!G27/1000</f>
        <v>0</v>
      </c>
      <c r="G35" s="26">
        <f t="shared" si="7"/>
        <v>12551.32165</v>
      </c>
      <c r="H35"/>
      <c r="I35" s="46">
        <v>13590</v>
      </c>
      <c r="J35" s="46">
        <f t="shared" si="8"/>
        <v>-1038.6783500000001</v>
      </c>
      <c r="L35" s="1202">
        <f>+cashflow!E23</f>
        <v>0</v>
      </c>
    </row>
    <row r="36" spans="1:14" s="7" customFormat="1" ht="16.5" customHeight="1" x14ac:dyDescent="0.25">
      <c r="A36" s="296" t="s">
        <v>383</v>
      </c>
      <c r="B36" s="24">
        <f>-essbal!D37/1000</f>
        <v>30512.940190000001</v>
      </c>
      <c r="C36" s="97">
        <f>-essbal!E37/1000</f>
        <v>0</v>
      </c>
      <c r="D36" s="26">
        <f t="shared" si="6"/>
        <v>30512.940190000001</v>
      </c>
      <c r="E36" s="24">
        <f>-essbal!D37/1000</f>
        <v>30512.940190000001</v>
      </c>
      <c r="F36" s="97">
        <f>-essbal!G37/1000</f>
        <v>0</v>
      </c>
      <c r="G36" s="26">
        <f t="shared" si="7"/>
        <v>30512.940190000001</v>
      </c>
      <c r="H36" s="48"/>
      <c r="I36" s="46">
        <v>34620</v>
      </c>
      <c r="J36" s="46">
        <f t="shared" si="8"/>
        <v>-4107.0598099999988</v>
      </c>
      <c r="L36" s="1202">
        <f>+cashflow!E16</f>
        <v>-4107.3984799999853</v>
      </c>
    </row>
    <row r="37" spans="1:14" s="7" customFormat="1" ht="16.5" customHeight="1" x14ac:dyDescent="0.25">
      <c r="A37" s="85" t="s">
        <v>38</v>
      </c>
      <c r="B37" s="24">
        <f>+essbal!D38/1000*-1</f>
        <v>93541.78247999998</v>
      </c>
      <c r="C37" s="97">
        <f>+essbal!E38/1000*-1</f>
        <v>0</v>
      </c>
      <c r="D37" s="93">
        <f t="shared" si="6"/>
        <v>93541.78247999998</v>
      </c>
      <c r="E37" s="24">
        <f>+essbal!D38/1000*-1</f>
        <v>93541.78247999998</v>
      </c>
      <c r="F37" s="485">
        <f>+essbal!G38/1000*-1</f>
        <v>0</v>
      </c>
      <c r="G37" s="26">
        <f t="shared" si="7"/>
        <v>93541.78247999998</v>
      </c>
      <c r="H37" s="48"/>
      <c r="I37" s="46">
        <v>90251</v>
      </c>
      <c r="J37" s="46">
        <f t="shared" si="8"/>
        <v>3290.7824799999798</v>
      </c>
      <c r="L37" s="1202">
        <f>+cashflow!E17</f>
        <v>3290.4624299999923</v>
      </c>
      <c r="M37" s="1142"/>
      <c r="N37" s="1083"/>
    </row>
    <row r="38" spans="1:14" s="6" customFormat="1" ht="16.5" customHeight="1" thickBot="1" x14ac:dyDescent="0.3">
      <c r="A38" s="40" t="s">
        <v>39</v>
      </c>
      <c r="B38" s="104">
        <f t="shared" ref="B38:G38" si="9">SUM(B31:B37)</f>
        <v>286731.98319</v>
      </c>
      <c r="C38" s="480">
        <f t="shared" si="9"/>
        <v>0</v>
      </c>
      <c r="D38" s="105">
        <f t="shared" si="9"/>
        <v>286731.98319</v>
      </c>
      <c r="E38" s="104">
        <f t="shared" si="9"/>
        <v>286731.98319</v>
      </c>
      <c r="F38" s="480">
        <f t="shared" si="9"/>
        <v>0</v>
      </c>
      <c r="G38" s="105">
        <f t="shared" si="9"/>
        <v>286731.98319</v>
      </c>
      <c r="H38"/>
      <c r="I38" s="1020">
        <f>SUM(I31:I37)</f>
        <v>266958</v>
      </c>
      <c r="J38" s="1020">
        <f>SUM(J31:J37)</f>
        <v>19773.98318999997</v>
      </c>
      <c r="L38" s="1025"/>
      <c r="M38" s="1143"/>
    </row>
    <row r="39" spans="1:14" s="6" customFormat="1" ht="9.75" customHeight="1" x14ac:dyDescent="0.25">
      <c r="A39" s="34"/>
      <c r="B39" s="28"/>
      <c r="C39" s="483"/>
      <c r="D39" s="74"/>
      <c r="E39" s="28"/>
      <c r="F39" s="904"/>
      <c r="G39" s="41"/>
      <c r="H39"/>
      <c r="I39"/>
      <c r="J39" s="46"/>
      <c r="L39" s="1025"/>
      <c r="M39" s="1143"/>
    </row>
    <row r="40" spans="1:14" s="6" customFormat="1" ht="16.5" customHeight="1" x14ac:dyDescent="0.25">
      <c r="A40" s="34" t="s">
        <v>100</v>
      </c>
      <c r="B40" s="90">
        <f>(essbal!D48-essbal!D41-essbal!D42-essbal!D43-essbal!D44-essbal!D46-essbal!D47)/1000*-1</f>
        <v>8731.0652399999999</v>
      </c>
      <c r="C40" s="97">
        <f>(essbal!E48-essbal!E41-essbal!E42-essbal!E43-essbal!E44-essbal!E46)/1000*-1</f>
        <v>0</v>
      </c>
      <c r="D40" s="86">
        <f>B40-C40</f>
        <v>8731.0652399999999</v>
      </c>
      <c r="E40" s="90">
        <f>(essbal!D48-essbal!D41-essbal!D42-essbal!D43-essbal!D44-essbal!D46-essbal!D47)/1000*-1</f>
        <v>8731.0652399999999</v>
      </c>
      <c r="F40" s="97">
        <f>(essbal!G48-essbal!G41-essbal!G42-essbal!G43-essbal!G44-essbal!G46)/1000*-1</f>
        <v>0</v>
      </c>
      <c r="G40" s="26">
        <f t="shared" ref="G40:G45" si="10">E40-F40</f>
        <v>8731.0652399999999</v>
      </c>
      <c r="H40" s="51"/>
      <c r="I40" s="46">
        <v>10000</v>
      </c>
      <c r="J40" s="46">
        <f t="shared" ref="J40:J45" si="11">+B40-I40</f>
        <v>-1268.9347600000001</v>
      </c>
      <c r="L40" s="46">
        <f>+cashflow!E9</f>
        <v>-6045.9377100000156</v>
      </c>
      <c r="M40" s="1144"/>
      <c r="N40" s="1030"/>
    </row>
    <row r="41" spans="1:14" s="6" customFormat="1" ht="16.5" customHeight="1" x14ac:dyDescent="0.25">
      <c r="A41" s="34" t="s">
        <v>101</v>
      </c>
      <c r="B41" s="24">
        <f>-essbal!D41/1000</f>
        <v>-4.6566128730773927E-13</v>
      </c>
      <c r="C41" s="107">
        <f>-essbal!E41/1000</f>
        <v>0</v>
      </c>
      <c r="D41" s="86">
        <f>B41-C41</f>
        <v>-4.6566128730773927E-13</v>
      </c>
      <c r="E41" s="24">
        <f>-essbal!D41/1000</f>
        <v>-4.6566128730773927E-13</v>
      </c>
      <c r="F41" s="107">
        <f>-essbal!G41/1000</f>
        <v>0</v>
      </c>
      <c r="G41" s="26">
        <f t="shared" si="10"/>
        <v>-4.6566128730773927E-13</v>
      </c>
      <c r="H41" s="51"/>
      <c r="I41" s="46">
        <v>0</v>
      </c>
      <c r="J41" s="46">
        <f t="shared" si="11"/>
        <v>-4.6566128730773927E-13</v>
      </c>
      <c r="L41" s="1204">
        <f>+cashflow!E10</f>
        <v>-379.05114000000322</v>
      </c>
      <c r="M41" s="1144"/>
      <c r="N41" s="1030"/>
    </row>
    <row r="42" spans="1:14" s="7" customFormat="1" ht="16.5" customHeight="1" x14ac:dyDescent="0.25">
      <c r="A42" s="85" t="s">
        <v>78</v>
      </c>
      <c r="B42" s="24">
        <f>-essbal!D42/1000-essbal!D44/1000</f>
        <v>652.47290999999996</v>
      </c>
      <c r="C42" s="107">
        <f>-essbal!E42/1000-essbal!E44/1000</f>
        <v>0</v>
      </c>
      <c r="D42" s="86">
        <f>B42-C42</f>
        <v>652.47290999999996</v>
      </c>
      <c r="E42" s="24">
        <f>-essbal!D42/1000-essbal!D44/1000</f>
        <v>652.47290999999996</v>
      </c>
      <c r="F42" s="107">
        <f>-essbal!G42/1000-essbal!G44/1000</f>
        <v>0</v>
      </c>
      <c r="G42" s="26">
        <f t="shared" si="10"/>
        <v>652.47290999999996</v>
      </c>
      <c r="H42" s="51"/>
      <c r="I42" s="46">
        <v>726</v>
      </c>
      <c r="J42" s="46">
        <f t="shared" si="11"/>
        <v>-73.527090000000044</v>
      </c>
      <c r="L42" s="46"/>
      <c r="M42" s="1144"/>
      <c r="N42" s="1083"/>
    </row>
    <row r="43" spans="1:14" s="7" customFormat="1" ht="16.5" customHeight="1" x14ac:dyDescent="0.25">
      <c r="A43" s="296" t="s">
        <v>401</v>
      </c>
      <c r="B43" s="24">
        <f>-essbal!D43/1000</f>
        <v>5.2154058849396277E-13</v>
      </c>
      <c r="C43" s="107">
        <f>-essbal!E43/1000</f>
        <v>0</v>
      </c>
      <c r="D43" s="86">
        <f>B43-C43</f>
        <v>5.2154058849396277E-13</v>
      </c>
      <c r="E43" s="24">
        <f>-essbal!D43/1000</f>
        <v>5.2154058849396277E-13</v>
      </c>
      <c r="F43" s="107">
        <f>-essbal!G43/1000</f>
        <v>0</v>
      </c>
      <c r="G43" s="26">
        <f>E43-F43</f>
        <v>5.2154058849396277E-13</v>
      </c>
      <c r="H43" s="51"/>
      <c r="I43" s="46">
        <v>0</v>
      </c>
      <c r="J43" s="46">
        <f t="shared" si="11"/>
        <v>5.2154058849396277E-13</v>
      </c>
      <c r="L43" s="1204">
        <f>+cashflow!E11</f>
        <v>0</v>
      </c>
      <c r="M43" s="1142"/>
      <c r="N43" s="1083"/>
    </row>
    <row r="44" spans="1:14" s="7" customFormat="1" ht="16.5" customHeight="1" x14ac:dyDescent="0.25">
      <c r="A44" s="296" t="s">
        <v>482</v>
      </c>
      <c r="B44" s="24"/>
      <c r="C44" s="107"/>
      <c r="D44" s="86"/>
      <c r="E44" s="24"/>
      <c r="F44" s="107"/>
      <c r="G44" s="26"/>
      <c r="H44" s="51"/>
      <c r="I44" s="46">
        <v>0</v>
      </c>
      <c r="J44" s="46">
        <f t="shared" si="11"/>
        <v>0</v>
      </c>
      <c r="L44" s="46"/>
      <c r="M44" s="1142"/>
      <c r="N44" s="1083"/>
    </row>
    <row r="45" spans="1:14" s="7" customFormat="1" ht="16.5" customHeight="1" x14ac:dyDescent="0.25">
      <c r="A45" s="296" t="s">
        <v>467</v>
      </c>
      <c r="B45" s="24">
        <f>essbal!D47/1000*-1</f>
        <v>0</v>
      </c>
      <c r="C45" s="107">
        <f>essbal!E47/1000*-1</f>
        <v>0</v>
      </c>
      <c r="D45" s="86">
        <f>B45-C45</f>
        <v>0</v>
      </c>
      <c r="E45" s="24">
        <f>essbal!D47/1000*-1</f>
        <v>0</v>
      </c>
      <c r="F45" s="905">
        <f>essbal!G43/1000*-1</f>
        <v>0</v>
      </c>
      <c r="G45" s="26">
        <f t="shared" si="10"/>
        <v>0</v>
      </c>
      <c r="H45" s="51"/>
      <c r="I45" s="46">
        <v>0</v>
      </c>
      <c r="J45" s="46">
        <f t="shared" si="11"/>
        <v>0</v>
      </c>
      <c r="L45" s="1026"/>
      <c r="M45" s="1142"/>
      <c r="N45" s="1083"/>
    </row>
    <row r="46" spans="1:14" s="6" customFormat="1" ht="16.5" customHeight="1" thickBot="1" x14ac:dyDescent="0.3">
      <c r="A46" s="40" t="s">
        <v>399</v>
      </c>
      <c r="B46" s="196">
        <f t="shared" ref="B46:G46" si="12">SUM(B40:B45)</f>
        <v>9383.5381500000003</v>
      </c>
      <c r="C46" s="106">
        <f t="shared" si="12"/>
        <v>0</v>
      </c>
      <c r="D46" s="869">
        <f t="shared" si="12"/>
        <v>9383.5381500000003</v>
      </c>
      <c r="E46" s="196">
        <f t="shared" si="12"/>
        <v>9383.5381500000003</v>
      </c>
      <c r="F46" s="906">
        <f t="shared" si="12"/>
        <v>0</v>
      </c>
      <c r="G46" s="907">
        <f t="shared" si="12"/>
        <v>9383.5381500000003</v>
      </c>
      <c r="H46"/>
      <c r="I46" s="1018">
        <f>SUM(I40:I45)</f>
        <v>10726</v>
      </c>
      <c r="J46" s="1020">
        <f>SUM(J40:J45)</f>
        <v>-1342.4618500000001</v>
      </c>
      <c r="L46" s="1025"/>
      <c r="N46" s="1030"/>
    </row>
    <row r="47" spans="1:14" s="10" customFormat="1" ht="16.5" customHeight="1" x14ac:dyDescent="0.25">
      <c r="A47" s="42"/>
      <c r="B47" s="72"/>
      <c r="C47" s="96"/>
      <c r="D47" s="78"/>
      <c r="E47" s="72"/>
      <c r="F47" s="96"/>
      <c r="G47" s="78"/>
      <c r="H47"/>
      <c r="I47" s="909"/>
      <c r="J47" s="46"/>
      <c r="K47" s="3"/>
      <c r="L47" s="1028"/>
    </row>
    <row r="48" spans="1:14" s="11" customFormat="1" ht="16.5" customHeight="1" thickBot="1" x14ac:dyDescent="0.35">
      <c r="A48" s="40" t="s">
        <v>86</v>
      </c>
      <c r="B48" s="68">
        <f>B38+B46</f>
        <v>296115.52133999998</v>
      </c>
      <c r="C48" s="69">
        <f>C38+C46</f>
        <v>0</v>
      </c>
      <c r="D48" s="70">
        <f>D38+D46</f>
        <v>296115.52133999998</v>
      </c>
      <c r="E48" s="68">
        <f>E38+E46</f>
        <v>296115.52133999998</v>
      </c>
      <c r="F48" s="69">
        <f>F38+F46</f>
        <v>0</v>
      </c>
      <c r="G48" s="70">
        <f>E48-F48</f>
        <v>296115.52133999998</v>
      </c>
      <c r="H48"/>
      <c r="I48" s="51">
        <f>+I38+I46</f>
        <v>277684</v>
      </c>
      <c r="J48" s="1021">
        <f>+J28+J38+J46</f>
        <v>74776.084689999916</v>
      </c>
      <c r="K48" s="3"/>
      <c r="L48" s="1029"/>
    </row>
    <row r="49" spans="1:13" x14ac:dyDescent="0.25">
      <c r="E49" s="810"/>
      <c r="H49"/>
      <c r="J49" s="46"/>
    </row>
    <row r="50" spans="1:13" ht="15.6" x14ac:dyDescent="0.3">
      <c r="A50" s="164"/>
      <c r="B50" s="1229">
        <f t="shared" ref="B50:G50" si="13">B28-B48</f>
        <v>-54059.991049999924</v>
      </c>
      <c r="C50" s="381">
        <f t="shared" si="13"/>
        <v>0</v>
      </c>
      <c r="D50" s="168">
        <f t="shared" si="13"/>
        <v>-54059.991049999924</v>
      </c>
      <c r="E50" s="1229">
        <f t="shared" si="13"/>
        <v>-54059.991049999924</v>
      </c>
      <c r="F50" s="168">
        <f t="shared" si="13"/>
        <v>0</v>
      </c>
      <c r="G50" s="168">
        <f t="shared" si="13"/>
        <v>-54059.991049999924</v>
      </c>
      <c r="H50"/>
    </row>
    <row r="51" spans="1:13" x14ac:dyDescent="0.25">
      <c r="A51" s="34"/>
      <c r="B51" s="920"/>
      <c r="E51" s="811"/>
      <c r="F51"/>
      <c r="G51"/>
      <c r="H51"/>
      <c r="L51" s="1098"/>
    </row>
    <row r="52" spans="1:13" x14ac:dyDescent="0.25">
      <c r="B52" s="1084" t="s">
        <v>472</v>
      </c>
      <c r="C52" s="1084">
        <v>42369</v>
      </c>
      <c r="D52" s="1085" t="s">
        <v>471</v>
      </c>
      <c r="E52" s="1086" t="s">
        <v>473</v>
      </c>
      <c r="F52" s="1087" t="s">
        <v>470</v>
      </c>
      <c r="G52"/>
      <c r="L52" s="1097"/>
    </row>
    <row r="54" spans="1:13" x14ac:dyDescent="0.25">
      <c r="A54" s="34" t="s">
        <v>100</v>
      </c>
      <c r="B54" s="1093">
        <f>+B40</f>
        <v>8731.0652399999999</v>
      </c>
      <c r="C54" s="1093">
        <f>(essbal!I41+essbal!I42+essbal!I43-essbal!I48)/1000</f>
        <v>13761.099459999979</v>
      </c>
      <c r="D54" s="1093">
        <f>+B54-C54</f>
        <v>-5030.0342199999795</v>
      </c>
      <c r="E54" s="1093">
        <f>+income!E29</f>
        <v>-5880.875520000016</v>
      </c>
      <c r="F54" s="9">
        <f t="shared" ref="F54:F59" si="14">+E54-D54</f>
        <v>-850.84130000003643</v>
      </c>
      <c r="L54" s="1094"/>
      <c r="M54" s="1212"/>
    </row>
    <row r="55" spans="1:13" x14ac:dyDescent="0.25">
      <c r="A55" s="85" t="s">
        <v>480</v>
      </c>
      <c r="B55" s="1093"/>
      <c r="C55" s="1093"/>
      <c r="D55" s="1093">
        <f>(+essincome!F71+essincome!F72+essincome!F81)/1000</f>
        <v>-1321.82881</v>
      </c>
      <c r="E55" s="1093">
        <v>0</v>
      </c>
      <c r="F55" s="9">
        <f t="shared" si="14"/>
        <v>1321.82881</v>
      </c>
      <c r="L55" s="1094"/>
      <c r="M55" s="1212"/>
    </row>
    <row r="56" spans="1:13" x14ac:dyDescent="0.25">
      <c r="A56" s="34" t="s">
        <v>101</v>
      </c>
      <c r="B56" s="1093">
        <f>+B41</f>
        <v>-4.6566128730773927E-13</v>
      </c>
      <c r="C56" s="1093">
        <f>-essbal!I41/1000</f>
        <v>-3.7252902984619141E-12</v>
      </c>
      <c r="D56" s="1093">
        <f>+B56-C56</f>
        <v>3.2596290111541749E-12</v>
      </c>
      <c r="E56" s="1093">
        <f>+'income-SME'!E21</f>
        <v>-379.05114000000322</v>
      </c>
      <c r="F56" s="1130">
        <f t="shared" si="14"/>
        <v>-379.05114000000646</v>
      </c>
      <c r="M56" s="1212"/>
    </row>
    <row r="57" spans="1:13" x14ac:dyDescent="0.25">
      <c r="A57" s="85" t="s">
        <v>78</v>
      </c>
      <c r="B57" s="1093">
        <f>+B42</f>
        <v>652.47290999999996</v>
      </c>
      <c r="C57" s="1093">
        <f>-essbal!I42/1000</f>
        <v>725.59872999999993</v>
      </c>
      <c r="D57" s="1093">
        <f>+B57-C57</f>
        <v>-73.125819999999976</v>
      </c>
      <c r="E57" s="1093">
        <f>+income!E31+income!E32+income!E33</f>
        <v>-165.06218999999987</v>
      </c>
      <c r="F57" s="1130">
        <f t="shared" si="14"/>
        <v>-91.936369999999897</v>
      </c>
      <c r="I57" s="1131"/>
      <c r="M57" s="1212"/>
    </row>
    <row r="58" spans="1:13" x14ac:dyDescent="0.25">
      <c r="A58" s="296" t="s">
        <v>401</v>
      </c>
      <c r="B58" s="1093">
        <f>+B43</f>
        <v>5.2154058849396277E-13</v>
      </c>
      <c r="C58" s="1093">
        <f>+I43</f>
        <v>0</v>
      </c>
      <c r="D58" s="1093">
        <f>+B58-C58</f>
        <v>5.2154058849396277E-13</v>
      </c>
      <c r="E58" s="1093">
        <f>(essincome!F28+essincome!F29)/1000</f>
        <v>0</v>
      </c>
      <c r="F58" s="9">
        <f t="shared" si="14"/>
        <v>-5.2154058849396277E-13</v>
      </c>
      <c r="M58" s="1212"/>
    </row>
    <row r="59" spans="1:13" x14ac:dyDescent="0.25">
      <c r="A59" s="296" t="s">
        <v>467</v>
      </c>
      <c r="B59" s="1093">
        <f>+B45</f>
        <v>0</v>
      </c>
      <c r="C59" s="1093">
        <f>+I45</f>
        <v>0</v>
      </c>
      <c r="D59" s="1093">
        <f>+B59-C59</f>
        <v>0</v>
      </c>
      <c r="E59" s="1093">
        <f>+income!E34</f>
        <v>0</v>
      </c>
      <c r="F59" s="9">
        <f t="shared" si="14"/>
        <v>0</v>
      </c>
      <c r="M59" s="1212"/>
    </row>
    <row r="60" spans="1:13" x14ac:dyDescent="0.25">
      <c r="A60" s="40" t="s">
        <v>399</v>
      </c>
      <c r="B60" s="40">
        <f>SUM(B54:B59)</f>
        <v>9383.5381500000003</v>
      </c>
      <c r="C60" s="40">
        <f>SUM(C54:C59)</f>
        <v>14486.698189999976</v>
      </c>
      <c r="D60" s="40">
        <f>SUM(D54:D59)</f>
        <v>-6424.9888499999752</v>
      </c>
      <c r="E60" s="40">
        <f>SUM(E54:E59)</f>
        <v>-6424.9888500000188</v>
      </c>
      <c r="F60" s="40">
        <f>SUM(F54:F59)</f>
        <v>-4.3324634990682397E-11</v>
      </c>
      <c r="H60" s="1217">
        <f>+F60</f>
        <v>-4.3324634990682397E-11</v>
      </c>
      <c r="M60" s="1212"/>
    </row>
    <row r="64" spans="1:13" x14ac:dyDescent="0.25">
      <c r="B64" s="1084" t="s">
        <v>472</v>
      </c>
      <c r="C64" s="1084">
        <v>42369</v>
      </c>
      <c r="D64" s="1085" t="s">
        <v>471</v>
      </c>
    </row>
    <row r="65" spans="1:4" x14ac:dyDescent="0.25">
      <c r="A65" s="34" t="s">
        <v>107</v>
      </c>
      <c r="B65" s="86">
        <f>+B17</f>
        <v>37229.399899999997</v>
      </c>
      <c r="C65" s="86">
        <f>+essbal!I12/1000</f>
        <v>36911.13299000002</v>
      </c>
      <c r="D65" s="86">
        <f>+B65-C65</f>
        <v>318.26690999997663</v>
      </c>
    </row>
    <row r="66" spans="1:4" ht="15.6" x14ac:dyDescent="0.4">
      <c r="A66" s="34" t="s">
        <v>110</v>
      </c>
      <c r="B66" s="1088">
        <f>+B18</f>
        <v>-30864.411969999997</v>
      </c>
      <c r="C66" s="1088">
        <f>+essbal!I13/1000</f>
        <v>-29189.415140000008</v>
      </c>
      <c r="D66" s="1088">
        <f>+B66-C66</f>
        <v>-1674.9968299999891</v>
      </c>
    </row>
    <row r="67" spans="1:4" x14ac:dyDescent="0.25">
      <c r="A67" s="34" t="s">
        <v>111</v>
      </c>
      <c r="B67" s="86">
        <f>SUM(B65:B66)</f>
        <v>6364.9879299999993</v>
      </c>
      <c r="C67" s="86">
        <f>SUM(C65:C66)</f>
        <v>7721.7178500000118</v>
      </c>
      <c r="D67" s="86">
        <f>SUM(D65:D66)</f>
        <v>-1356.7299200000125</v>
      </c>
    </row>
    <row r="68" spans="1:4" x14ac:dyDescent="0.25">
      <c r="B68" s="86"/>
      <c r="C68" s="86"/>
      <c r="D68" s="86"/>
    </row>
    <row r="69" spans="1:4" x14ac:dyDescent="0.25">
      <c r="B69" s="86"/>
      <c r="C69" s="86"/>
      <c r="D69" s="86"/>
    </row>
    <row r="70" spans="1:4" x14ac:dyDescent="0.25">
      <c r="A70" s="1237" t="s">
        <v>536</v>
      </c>
      <c r="B70" s="1195">
        <f>+B41</f>
        <v>-4.6566128730773927E-13</v>
      </c>
      <c r="C70" s="1195">
        <f>-essbal!I41/1000</f>
        <v>-3.7252902984619141E-12</v>
      </c>
      <c r="D70" s="1195">
        <f>+B70-C70</f>
        <v>3.2596290111541749E-12</v>
      </c>
    </row>
    <row r="71" spans="1:4" x14ac:dyDescent="0.25">
      <c r="B71" s="86"/>
      <c r="C71" s="86"/>
      <c r="D71" s="86"/>
    </row>
    <row r="72" spans="1:4" x14ac:dyDescent="0.25">
      <c r="A72" s="1194" t="s">
        <v>497</v>
      </c>
      <c r="B72" s="1195">
        <f>+B65-B70+B66</f>
        <v>6364.9879299999993</v>
      </c>
      <c r="C72" s="1195">
        <f>+C65-C70+C66</f>
        <v>7721.7178500000191</v>
      </c>
      <c r="D72" s="1195">
        <f>+B72-C72</f>
        <v>-1356.7299200000198</v>
      </c>
    </row>
  </sheetData>
  <mergeCells count="5">
    <mergeCell ref="A1:G1"/>
    <mergeCell ref="A2:G2"/>
    <mergeCell ref="A3:G3"/>
    <mergeCell ref="B5:D5"/>
    <mergeCell ref="E5:G5"/>
  </mergeCells>
  <phoneticPr fontId="31" type="noConversion"/>
  <printOptions horizontalCentered="1"/>
  <pageMargins left="0.75" right="0.75" top="0.5" bottom="0.5" header="0.5" footer="0.25"/>
  <pageSetup scale="52" orientation="landscape" r:id="rId1"/>
  <headerFooter alignWithMargins="0">
    <oddFooter>&amp;L&amp;F&amp;RCONFIDENTIAL</oddFooter>
  </headerFooter>
  <ignoredErrors>
    <ignoredError sqref="D19 D22:D23 D21 D20 C4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  <pageSetUpPr fitToPage="1"/>
  </sheetPr>
  <dimension ref="A1:R24"/>
  <sheetViews>
    <sheetView zoomScaleNormal="100" workbookViewId="0">
      <selection activeCell="B19" sqref="B19"/>
    </sheetView>
  </sheetViews>
  <sheetFormatPr defaultColWidth="9.109375" defaultRowHeight="13.8" x14ac:dyDescent="0.3"/>
  <cols>
    <col min="1" max="1" width="10.88671875" style="108" customWidth="1"/>
    <col min="2" max="2" width="13.6640625" style="117" bestFit="1" customWidth="1"/>
    <col min="3" max="3" width="15.109375" style="117" bestFit="1" customWidth="1"/>
    <col min="4" max="4" width="13.5546875" style="117" customWidth="1"/>
    <col min="5" max="5" width="10.6640625" style="117" customWidth="1"/>
    <col min="6" max="6" width="13.5546875" style="117" bestFit="1" customWidth="1"/>
    <col min="7" max="7" width="13.109375" style="117" customWidth="1"/>
    <col min="8" max="8" width="11.88671875" style="117" bestFit="1" customWidth="1"/>
    <col min="9" max="10" width="10.6640625" style="117" customWidth="1"/>
    <col min="11" max="11" width="13.5546875" style="117" bestFit="1" customWidth="1"/>
    <col min="12" max="13" width="13.109375" style="117" bestFit="1" customWidth="1"/>
    <col min="14" max="14" width="11.5546875" style="117" bestFit="1" customWidth="1"/>
    <col min="15" max="15" width="12.88671875" style="108" bestFit="1" customWidth="1"/>
    <col min="16" max="16" width="10.33203125" style="108" bestFit="1" customWidth="1"/>
    <col min="17" max="16384" width="9.109375" style="108"/>
  </cols>
  <sheetData>
    <row r="1" spans="1:17" x14ac:dyDescent="0.3">
      <c r="A1" s="297" t="s">
        <v>247</v>
      </c>
    </row>
    <row r="2" spans="1:17" ht="15.6" x14ac:dyDescent="0.45">
      <c r="B2" s="298" t="s">
        <v>245</v>
      </c>
      <c r="C2" s="298" t="s">
        <v>236</v>
      </c>
      <c r="D2" s="298" t="s">
        <v>63</v>
      </c>
      <c r="E2" s="298" t="s">
        <v>237</v>
      </c>
      <c r="F2" s="298" t="s">
        <v>238</v>
      </c>
      <c r="G2" s="298" t="s">
        <v>68</v>
      </c>
      <c r="H2" s="298" t="s">
        <v>239</v>
      </c>
      <c r="I2" s="298" t="s">
        <v>240</v>
      </c>
      <c r="J2" s="298" t="s">
        <v>241</v>
      </c>
      <c r="K2" s="298" t="s">
        <v>242</v>
      </c>
      <c r="L2" s="298" t="s">
        <v>243</v>
      </c>
      <c r="M2" s="298" t="s">
        <v>244</v>
      </c>
      <c r="N2" s="298" t="s">
        <v>245</v>
      </c>
    </row>
    <row r="3" spans="1:17" x14ac:dyDescent="0.3">
      <c r="A3" s="108" t="s">
        <v>248</v>
      </c>
      <c r="B3" s="143">
        <v>0</v>
      </c>
      <c r="C3" s="870">
        <v>0</v>
      </c>
      <c r="D3" s="870">
        <v>0</v>
      </c>
      <c r="E3" s="870">
        <v>0</v>
      </c>
      <c r="F3" s="870">
        <v>0</v>
      </c>
      <c r="G3" s="870">
        <v>0</v>
      </c>
      <c r="H3" s="870">
        <v>0</v>
      </c>
      <c r="I3" s="870">
        <v>0</v>
      </c>
      <c r="J3" s="870">
        <v>0</v>
      </c>
      <c r="K3" s="870">
        <v>0</v>
      </c>
      <c r="L3" s="870">
        <v>0</v>
      </c>
      <c r="M3" s="870">
        <v>0</v>
      </c>
      <c r="N3" s="870">
        <v>0</v>
      </c>
      <c r="O3" s="120"/>
      <c r="P3" s="120"/>
    </row>
    <row r="4" spans="1:17" x14ac:dyDescent="0.3">
      <c r="A4" s="108" t="s">
        <v>249</v>
      </c>
      <c r="B4" s="143">
        <v>0</v>
      </c>
      <c r="C4" s="870">
        <v>0</v>
      </c>
      <c r="D4" s="870">
        <v>0</v>
      </c>
      <c r="E4" s="870">
        <v>0</v>
      </c>
      <c r="F4" s="870">
        <v>0</v>
      </c>
      <c r="G4" s="870">
        <v>0</v>
      </c>
      <c r="H4" s="870">
        <v>0</v>
      </c>
      <c r="I4" s="870">
        <v>0</v>
      </c>
      <c r="J4" s="870">
        <v>0</v>
      </c>
      <c r="K4" s="870">
        <v>0</v>
      </c>
      <c r="L4" s="870">
        <v>0</v>
      </c>
      <c r="M4" s="870">
        <v>0</v>
      </c>
      <c r="N4" s="870">
        <v>0</v>
      </c>
      <c r="O4" s="120"/>
    </row>
    <row r="5" spans="1:17" x14ac:dyDescent="0.3">
      <c r="B5" s="301">
        <f>SUM(B3:B4)</f>
        <v>0</v>
      </c>
      <c r="C5" s="870">
        <f t="shared" ref="C5:H5" si="0">SUM(C3:C4)</f>
        <v>0</v>
      </c>
      <c r="D5" s="870">
        <f t="shared" si="0"/>
        <v>0</v>
      </c>
      <c r="E5" s="870">
        <f t="shared" si="0"/>
        <v>0</v>
      </c>
      <c r="F5" s="870">
        <f t="shared" si="0"/>
        <v>0</v>
      </c>
      <c r="G5" s="870">
        <f t="shared" si="0"/>
        <v>0</v>
      </c>
      <c r="H5" s="870">
        <f t="shared" si="0"/>
        <v>0</v>
      </c>
      <c r="I5" s="870">
        <f t="shared" ref="I5:N5" si="1">SUM(I3:I4)</f>
        <v>0</v>
      </c>
      <c r="J5" s="870">
        <f t="shared" si="1"/>
        <v>0</v>
      </c>
      <c r="K5" s="870">
        <f t="shared" si="1"/>
        <v>0</v>
      </c>
      <c r="L5" s="870">
        <f t="shared" si="1"/>
        <v>0</v>
      </c>
      <c r="M5" s="870">
        <f t="shared" si="1"/>
        <v>0</v>
      </c>
      <c r="N5" s="870">
        <f t="shared" si="1"/>
        <v>0</v>
      </c>
    </row>
    <row r="6" spans="1:17" x14ac:dyDescent="0.3"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870"/>
      <c r="O6" s="120"/>
    </row>
    <row r="7" spans="1:17" x14ac:dyDescent="0.3">
      <c r="A7" s="297" t="s">
        <v>250</v>
      </c>
      <c r="B7" s="870"/>
      <c r="C7" s="870"/>
      <c r="D7" s="870"/>
      <c r="E7" s="870"/>
      <c r="F7" s="870"/>
      <c r="G7" s="870"/>
      <c r="H7" s="870"/>
      <c r="I7" s="870"/>
      <c r="J7" s="870"/>
      <c r="K7" s="870"/>
      <c r="L7" s="870"/>
      <c r="M7" s="870"/>
      <c r="N7" s="870"/>
    </row>
    <row r="8" spans="1:17" x14ac:dyDescent="0.3">
      <c r="A8" s="297"/>
      <c r="B8" s="872">
        <v>2014</v>
      </c>
      <c r="C8" s="872"/>
      <c r="D8" s="870"/>
      <c r="E8" s="870"/>
      <c r="F8" s="870"/>
      <c r="G8" s="870"/>
      <c r="H8" s="870"/>
      <c r="I8" s="870"/>
      <c r="J8" s="870"/>
      <c r="K8" s="870"/>
      <c r="L8" s="870"/>
      <c r="M8" s="870"/>
      <c r="N8" s="870"/>
    </row>
    <row r="9" spans="1:17" ht="15.6" x14ac:dyDescent="0.45">
      <c r="B9" s="871" t="s">
        <v>245</v>
      </c>
      <c r="C9" s="871" t="s">
        <v>236</v>
      </c>
      <c r="D9" s="871" t="s">
        <v>63</v>
      </c>
      <c r="E9" s="871" t="s">
        <v>237</v>
      </c>
      <c r="F9" s="871" t="s">
        <v>238</v>
      </c>
      <c r="G9" s="871" t="s">
        <v>68</v>
      </c>
      <c r="H9" s="871" t="s">
        <v>239</v>
      </c>
      <c r="I9" s="871" t="s">
        <v>240</v>
      </c>
      <c r="J9" s="871" t="s">
        <v>241</v>
      </c>
      <c r="K9" s="871" t="s">
        <v>242</v>
      </c>
      <c r="L9" s="871" t="s">
        <v>243</v>
      </c>
      <c r="M9" s="871" t="s">
        <v>244</v>
      </c>
      <c r="N9" s="871" t="s">
        <v>245</v>
      </c>
    </row>
    <row r="10" spans="1:17" x14ac:dyDescent="0.3">
      <c r="A10" s="108" t="s">
        <v>248</v>
      </c>
      <c r="B10" s="143">
        <v>0</v>
      </c>
      <c r="C10" s="870"/>
      <c r="D10" s="870"/>
      <c r="E10" s="870"/>
      <c r="F10" s="870"/>
      <c r="G10" s="870"/>
      <c r="H10" s="870"/>
      <c r="I10" s="870"/>
      <c r="J10" s="870"/>
      <c r="K10" s="870"/>
      <c r="L10" s="870"/>
      <c r="M10" s="870"/>
      <c r="N10" s="870"/>
      <c r="O10" s="120"/>
      <c r="P10" s="117"/>
      <c r="Q10" s="120"/>
    </row>
    <row r="11" spans="1:17" x14ac:dyDescent="0.3">
      <c r="A11" s="108" t="s">
        <v>249</v>
      </c>
      <c r="B11" s="143">
        <v>0</v>
      </c>
      <c r="C11" s="870"/>
      <c r="D11" s="870"/>
      <c r="E11" s="870"/>
      <c r="F11" s="870"/>
      <c r="G11" s="870"/>
      <c r="H11" s="870"/>
      <c r="I11" s="870"/>
      <c r="J11" s="870"/>
      <c r="K11" s="870"/>
      <c r="L11" s="870"/>
      <c r="M11" s="870"/>
      <c r="N11" s="870"/>
      <c r="O11" s="120"/>
      <c r="P11" s="117"/>
    </row>
    <row r="12" spans="1:17" x14ac:dyDescent="0.3">
      <c r="B12" s="301">
        <f t="shared" ref="B12:N12" si="2">SUM(B10:B11)</f>
        <v>0</v>
      </c>
      <c r="C12" s="870">
        <f t="shared" si="2"/>
        <v>0</v>
      </c>
      <c r="D12" s="870">
        <f t="shared" si="2"/>
        <v>0</v>
      </c>
      <c r="E12" s="870">
        <f t="shared" si="2"/>
        <v>0</v>
      </c>
      <c r="F12" s="870">
        <f t="shared" si="2"/>
        <v>0</v>
      </c>
      <c r="G12" s="870">
        <f t="shared" si="2"/>
        <v>0</v>
      </c>
      <c r="H12" s="870">
        <f t="shared" si="2"/>
        <v>0</v>
      </c>
      <c r="I12" s="870">
        <f t="shared" si="2"/>
        <v>0</v>
      </c>
      <c r="J12" s="870">
        <f t="shared" si="2"/>
        <v>0</v>
      </c>
      <c r="K12" s="870">
        <f t="shared" si="2"/>
        <v>0</v>
      </c>
      <c r="L12" s="870">
        <f t="shared" si="2"/>
        <v>0</v>
      </c>
      <c r="M12" s="870">
        <f t="shared" si="2"/>
        <v>0</v>
      </c>
      <c r="N12" s="870">
        <f t="shared" si="2"/>
        <v>0</v>
      </c>
      <c r="O12" s="120"/>
      <c r="P12" s="117"/>
    </row>
    <row r="13" spans="1:17" x14ac:dyDescent="0.3">
      <c r="O13" s="120"/>
    </row>
    <row r="14" spans="1:17" x14ac:dyDescent="0.3">
      <c r="A14" s="299" t="s">
        <v>498</v>
      </c>
    </row>
    <row r="15" spans="1:17" ht="15.6" x14ac:dyDescent="0.45">
      <c r="B15" s="886" t="s">
        <v>462</v>
      </c>
      <c r="C15" s="298" t="s">
        <v>236</v>
      </c>
      <c r="D15" s="298" t="s">
        <v>63</v>
      </c>
      <c r="E15" s="298" t="s">
        <v>237</v>
      </c>
      <c r="F15" s="298" t="s">
        <v>238</v>
      </c>
      <c r="G15" s="298" t="s">
        <v>68</v>
      </c>
      <c r="H15" s="298" t="s">
        <v>239</v>
      </c>
      <c r="I15" s="298" t="s">
        <v>240</v>
      </c>
      <c r="J15" s="298" t="s">
        <v>241</v>
      </c>
      <c r="K15" s="298" t="s">
        <v>242</v>
      </c>
      <c r="L15" s="298" t="s">
        <v>243</v>
      </c>
      <c r="M15" s="298" t="s">
        <v>244</v>
      </c>
      <c r="N15" s="298" t="s">
        <v>245</v>
      </c>
      <c r="O15" s="300"/>
    </row>
    <row r="16" spans="1:17" x14ac:dyDescent="0.3">
      <c r="A16" s="108" t="s">
        <v>248</v>
      </c>
      <c r="B16" s="143">
        <v>0</v>
      </c>
      <c r="C16" s="143">
        <v>0</v>
      </c>
      <c r="D16" s="143">
        <v>0</v>
      </c>
      <c r="E16" s="143">
        <v>0</v>
      </c>
      <c r="F16" s="143">
        <v>0</v>
      </c>
      <c r="G16" s="143"/>
      <c r="H16" s="143"/>
      <c r="I16" s="143"/>
      <c r="J16" s="143"/>
      <c r="L16" s="143"/>
      <c r="M16" s="143"/>
      <c r="O16" s="120"/>
      <c r="P16" s="363"/>
    </row>
    <row r="17" spans="1:18" x14ac:dyDescent="0.3">
      <c r="A17" s="108" t="s">
        <v>231</v>
      </c>
      <c r="B17" s="143">
        <v>0</v>
      </c>
      <c r="C17" s="143">
        <v>0</v>
      </c>
      <c r="D17" s="143">
        <v>0</v>
      </c>
      <c r="E17" s="143">
        <v>0</v>
      </c>
      <c r="F17" s="143">
        <v>0</v>
      </c>
      <c r="G17" s="143"/>
      <c r="H17" s="143"/>
      <c r="I17" s="143"/>
      <c r="L17" s="143"/>
      <c r="M17" s="143"/>
      <c r="O17" s="120"/>
    </row>
    <row r="18" spans="1:18" x14ac:dyDescent="0.3">
      <c r="A18" s="108" t="s">
        <v>251</v>
      </c>
      <c r="B18" s="301">
        <f>SUM(B16:B17)</f>
        <v>0</v>
      </c>
      <c r="C18" s="301">
        <f t="shared" ref="C18:N18" si="3">SUM(C16:C17)</f>
        <v>0</v>
      </c>
      <c r="D18" s="301">
        <f t="shared" si="3"/>
        <v>0</v>
      </c>
      <c r="E18" s="301">
        <f t="shared" si="3"/>
        <v>0</v>
      </c>
      <c r="F18" s="301">
        <f>SUM(F16:F17)</f>
        <v>0</v>
      </c>
      <c r="G18" s="301">
        <f t="shared" si="3"/>
        <v>0</v>
      </c>
      <c r="H18" s="301">
        <f t="shared" si="3"/>
        <v>0</v>
      </c>
      <c r="I18" s="301">
        <f t="shared" si="3"/>
        <v>0</v>
      </c>
      <c r="J18" s="983">
        <f t="shared" si="3"/>
        <v>0</v>
      </c>
      <c r="K18" s="301">
        <f t="shared" si="3"/>
        <v>0</v>
      </c>
      <c r="L18" s="301">
        <f t="shared" si="3"/>
        <v>0</v>
      </c>
      <c r="M18" s="301">
        <f t="shared" si="3"/>
        <v>0</v>
      </c>
      <c r="N18" s="301">
        <f t="shared" si="3"/>
        <v>0</v>
      </c>
      <c r="O18" s="357"/>
      <c r="P18" s="115"/>
      <c r="Q18" s="115"/>
      <c r="R18" s="115"/>
    </row>
    <row r="20" spans="1:18" x14ac:dyDescent="0.3">
      <c r="A20" s="111"/>
      <c r="B20"/>
      <c r="C20" s="46"/>
      <c r="D20"/>
      <c r="E20"/>
      <c r="F20"/>
      <c r="G20"/>
      <c r="H20"/>
    </row>
    <row r="21" spans="1:18" x14ac:dyDescent="0.3">
      <c r="B21"/>
      <c r="C21"/>
      <c r="D21"/>
      <c r="E21"/>
      <c r="F21"/>
      <c r="G21"/>
      <c r="H21"/>
    </row>
    <row r="22" spans="1:18" x14ac:dyDescent="0.3">
      <c r="B22"/>
      <c r="C22"/>
      <c r="D22"/>
      <c r="E22"/>
      <c r="F22"/>
      <c r="G22"/>
      <c r="H22"/>
    </row>
    <row r="23" spans="1:18" x14ac:dyDescent="0.3">
      <c r="B23"/>
      <c r="C23"/>
      <c r="D23"/>
      <c r="E23"/>
      <c r="F23"/>
      <c r="G23"/>
      <c r="H23"/>
    </row>
    <row r="24" spans="1:18" x14ac:dyDescent="0.3">
      <c r="B24"/>
      <c r="C24"/>
      <c r="D24"/>
      <c r="E24"/>
      <c r="F24"/>
      <c r="G24"/>
      <c r="H24"/>
    </row>
  </sheetData>
  <pageMargins left="0.7" right="0.7" top="0.75" bottom="0.75" header="0.3" footer="0.3"/>
  <pageSetup scale="67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99"/>
    <pageSetUpPr fitToPage="1"/>
  </sheetPr>
  <dimension ref="A1:L37"/>
  <sheetViews>
    <sheetView zoomScaleNormal="100" workbookViewId="0">
      <selection activeCell="F37" sqref="F37"/>
    </sheetView>
  </sheetViews>
  <sheetFormatPr defaultColWidth="9.109375" defaultRowHeight="13.8" x14ac:dyDescent="0.3"/>
  <cols>
    <col min="1" max="1" width="43.6640625" style="108" bestFit="1" customWidth="1"/>
    <col min="2" max="3" width="13.6640625" style="117" customWidth="1"/>
    <col min="4" max="4" width="16.5546875" style="117" bestFit="1" customWidth="1"/>
    <col min="5" max="5" width="12.88671875" style="117" bestFit="1" customWidth="1"/>
    <col min="6" max="6" width="12" style="117" customWidth="1"/>
    <col min="7" max="7" width="14.44140625" style="143" customWidth="1"/>
    <col min="8" max="8" width="12" style="117" customWidth="1"/>
    <col min="9" max="9" width="15" style="117" customWidth="1"/>
    <col min="10" max="10" width="15" style="143" customWidth="1"/>
    <col min="11" max="12" width="15" style="117" customWidth="1"/>
    <col min="13" max="16384" width="9.109375" style="108"/>
  </cols>
  <sheetData>
    <row r="1" spans="1:12" x14ac:dyDescent="0.3">
      <c r="B1" s="425" t="s">
        <v>0</v>
      </c>
      <c r="C1" s="146"/>
      <c r="D1" s="417" t="s">
        <v>1</v>
      </c>
      <c r="E1" s="146"/>
      <c r="F1" s="146"/>
      <c r="G1" s="136"/>
      <c r="H1" s="146"/>
      <c r="I1" s="146"/>
      <c r="J1" s="136"/>
      <c r="K1" s="146"/>
      <c r="L1" s="146"/>
    </row>
    <row r="2" spans="1:12" x14ac:dyDescent="0.3">
      <c r="B2" s="426" t="s">
        <v>268</v>
      </c>
      <c r="C2" s="426" t="s">
        <v>268</v>
      </c>
      <c r="D2" s="426" t="s">
        <v>268</v>
      </c>
      <c r="E2" s="426" t="s">
        <v>268</v>
      </c>
      <c r="F2" s="426" t="s">
        <v>268</v>
      </c>
      <c r="G2" s="426" t="s">
        <v>268</v>
      </c>
      <c r="H2" s="426" t="s">
        <v>268</v>
      </c>
      <c r="I2" s="426" t="s">
        <v>268</v>
      </c>
      <c r="J2" s="426" t="s">
        <v>268</v>
      </c>
      <c r="K2" s="426" t="s">
        <v>268</v>
      </c>
      <c r="L2" s="417" t="s">
        <v>220</v>
      </c>
    </row>
    <row r="3" spans="1:12" x14ac:dyDescent="0.3">
      <c r="B3" s="417" t="s">
        <v>273</v>
      </c>
      <c r="C3" s="417" t="s">
        <v>273</v>
      </c>
      <c r="D3" s="417" t="s">
        <v>274</v>
      </c>
      <c r="E3" s="417" t="s">
        <v>274</v>
      </c>
      <c r="F3" s="417" t="s">
        <v>274</v>
      </c>
      <c r="G3" s="427" t="s">
        <v>274</v>
      </c>
      <c r="H3" s="417" t="s">
        <v>274</v>
      </c>
      <c r="I3" s="417" t="s">
        <v>54</v>
      </c>
      <c r="J3" s="428" t="s">
        <v>54</v>
      </c>
      <c r="K3" s="417" t="s">
        <v>54</v>
      </c>
      <c r="L3" s="417" t="s">
        <v>54</v>
      </c>
    </row>
    <row r="4" spans="1:12" x14ac:dyDescent="0.3">
      <c r="B4" s="417" t="s">
        <v>47</v>
      </c>
      <c r="C4" s="417" t="s">
        <v>48</v>
      </c>
      <c r="D4" s="417" t="s">
        <v>46</v>
      </c>
      <c r="E4" s="417" t="s">
        <v>61</v>
      </c>
      <c r="F4" s="417" t="s">
        <v>46</v>
      </c>
      <c r="G4" s="427" t="s">
        <v>47</v>
      </c>
      <c r="H4" s="417" t="s">
        <v>48</v>
      </c>
      <c r="I4" s="417" t="s">
        <v>47</v>
      </c>
      <c r="J4" s="428" t="s">
        <v>60</v>
      </c>
      <c r="K4" s="417" t="s">
        <v>48</v>
      </c>
      <c r="L4" s="417" t="s">
        <v>47</v>
      </c>
    </row>
    <row r="5" spans="1:12" x14ac:dyDescent="0.3">
      <c r="A5" s="111" t="s">
        <v>199</v>
      </c>
      <c r="B5" s="147">
        <v>568674.28999999946</v>
      </c>
      <c r="C5" s="147">
        <v>-1485206.6768633551</v>
      </c>
      <c r="D5" s="185">
        <v>-497107.26999999984</v>
      </c>
      <c r="E5" s="147">
        <v>-1910153.5799562146</v>
      </c>
      <c r="F5" s="185">
        <v>-497107.26999999984</v>
      </c>
      <c r="G5" s="200">
        <v>71567.019999997574</v>
      </c>
      <c r="H5" s="147">
        <v>-3395360.2568195676</v>
      </c>
      <c r="I5" s="185">
        <v>71567.019999997574</v>
      </c>
      <c r="J5" s="186" t="s">
        <v>45</v>
      </c>
      <c r="K5" s="147">
        <v>-12174000</v>
      </c>
      <c r="L5" s="147">
        <v>15954792.830000024</v>
      </c>
    </row>
    <row r="6" spans="1:12" s="110" customFormat="1" x14ac:dyDescent="0.3">
      <c r="A6" s="406" t="s">
        <v>8</v>
      </c>
      <c r="B6" s="137">
        <v>-1358551.79</v>
      </c>
      <c r="C6" s="183">
        <v>-1568629.08</v>
      </c>
      <c r="D6" s="137">
        <v>-783132.50999999978</v>
      </c>
      <c r="E6" s="183">
        <v>-1567271.08</v>
      </c>
      <c r="F6" s="137">
        <v>-783132.50999999978</v>
      </c>
      <c r="G6" s="148">
        <v>-2141684.2999999998</v>
      </c>
      <c r="H6" s="183">
        <v>-3135900.16</v>
      </c>
      <c r="I6" s="137">
        <v>-2141684.2999999998</v>
      </c>
      <c r="J6" s="186" t="s">
        <v>45</v>
      </c>
      <c r="K6" s="447">
        <v>-18540581.960000001</v>
      </c>
      <c r="L6" s="137">
        <v>12367849.629999988</v>
      </c>
    </row>
    <row r="7" spans="1:12" x14ac:dyDescent="0.3">
      <c r="A7" s="111" t="s">
        <v>114</v>
      </c>
      <c r="B7" s="185" t="s">
        <v>45</v>
      </c>
      <c r="C7" s="185" t="s">
        <v>45</v>
      </c>
      <c r="D7" s="185" t="s">
        <v>45</v>
      </c>
      <c r="E7" s="185" t="s">
        <v>45</v>
      </c>
      <c r="F7" s="185" t="s">
        <v>45</v>
      </c>
      <c r="G7" s="200" t="s">
        <v>45</v>
      </c>
      <c r="H7" s="185" t="s">
        <v>45</v>
      </c>
      <c r="I7" s="185" t="s">
        <v>45</v>
      </c>
      <c r="J7" s="186" t="s">
        <v>45</v>
      </c>
      <c r="K7" s="185">
        <v>-2300000</v>
      </c>
      <c r="L7" s="185" t="s">
        <v>45</v>
      </c>
    </row>
    <row r="8" spans="1:12" x14ac:dyDescent="0.3">
      <c r="A8" s="111" t="s">
        <v>9</v>
      </c>
      <c r="B8" s="147">
        <v>-402289.56</v>
      </c>
      <c r="C8" s="185">
        <v>-400000</v>
      </c>
      <c r="D8" s="147">
        <v>-401399.73000000004</v>
      </c>
      <c r="E8" s="185">
        <v>-400000</v>
      </c>
      <c r="F8" s="147">
        <v>-401399.73000000004</v>
      </c>
      <c r="G8" s="148">
        <v>-803689.28999999992</v>
      </c>
      <c r="H8" s="185">
        <v>-800000</v>
      </c>
      <c r="I8" s="147">
        <v>-803689.28999999992</v>
      </c>
      <c r="J8" s="186" t="s">
        <v>45</v>
      </c>
      <c r="K8" s="447">
        <v>-4800000</v>
      </c>
      <c r="L8" s="147">
        <v>-8141904.379999998</v>
      </c>
    </row>
    <row r="9" spans="1:12" x14ac:dyDescent="0.3">
      <c r="A9" s="111" t="s">
        <v>96</v>
      </c>
      <c r="B9" s="147">
        <v>0</v>
      </c>
      <c r="C9" s="185" t="s">
        <v>45</v>
      </c>
      <c r="D9" s="147">
        <v>0</v>
      </c>
      <c r="E9" s="185" t="s">
        <v>45</v>
      </c>
      <c r="F9" s="147">
        <v>0</v>
      </c>
      <c r="G9" s="148">
        <v>0</v>
      </c>
      <c r="H9" s="185" t="s">
        <v>45</v>
      </c>
      <c r="I9" s="147">
        <v>0</v>
      </c>
      <c r="J9" s="186" t="s">
        <v>45</v>
      </c>
      <c r="K9" s="447" t="s">
        <v>45</v>
      </c>
      <c r="L9" s="147">
        <v>0</v>
      </c>
    </row>
    <row r="10" spans="1:12" x14ac:dyDescent="0.3">
      <c r="A10" s="111" t="s">
        <v>200</v>
      </c>
      <c r="B10" s="147">
        <v>-1760841.35</v>
      </c>
      <c r="C10" s="185">
        <v>-1968629.08</v>
      </c>
      <c r="D10" s="147">
        <v>-1184532.2399999998</v>
      </c>
      <c r="E10" s="185">
        <v>-1967271.08</v>
      </c>
      <c r="F10" s="147">
        <v>-1184532.2399999998</v>
      </c>
      <c r="G10" s="148">
        <v>-2945373.59</v>
      </c>
      <c r="H10" s="185">
        <v>-3935900.16</v>
      </c>
      <c r="I10" s="147">
        <v>-2945373.59</v>
      </c>
      <c r="J10" s="186" t="s">
        <v>45</v>
      </c>
      <c r="K10" s="446">
        <v>-23340581.960000001</v>
      </c>
      <c r="L10" s="147">
        <v>4225945.2499999898</v>
      </c>
    </row>
    <row r="11" spans="1:12" x14ac:dyDescent="0.3">
      <c r="A11" s="410" t="s">
        <v>10</v>
      </c>
      <c r="B11" s="149">
        <v>-1199185.4000000006</v>
      </c>
      <c r="C11" s="186">
        <v>-1458011.4600000002</v>
      </c>
      <c r="D11" s="149">
        <v>-19614.519999999975</v>
      </c>
      <c r="E11" s="186">
        <v>-2.3283064365386963E-10</v>
      </c>
      <c r="F11" s="149">
        <v>-19614.519999999975</v>
      </c>
      <c r="G11" s="148">
        <v>-1218799.9200000002</v>
      </c>
      <c r="H11" s="186">
        <v>-1458011.4600000004</v>
      </c>
      <c r="I11" s="149">
        <v>-1218799.9200000002</v>
      </c>
      <c r="J11" s="186" t="s">
        <v>45</v>
      </c>
      <c r="K11" s="448">
        <v>2058628.1199999999</v>
      </c>
      <c r="L11" s="147">
        <v>8624372.7800000012</v>
      </c>
    </row>
    <row r="12" spans="1:12" x14ac:dyDescent="0.3">
      <c r="A12" s="111" t="s">
        <v>11</v>
      </c>
      <c r="B12" s="147">
        <v>-144633.69999999998</v>
      </c>
      <c r="C12" s="185">
        <v>-146299.16666666666</v>
      </c>
      <c r="D12" s="147">
        <v>-177237.80000000002</v>
      </c>
      <c r="E12" s="185">
        <v>-146299.16666666666</v>
      </c>
      <c r="F12" s="147">
        <v>-177237.80000000002</v>
      </c>
      <c r="G12" s="148">
        <v>-321871.5</v>
      </c>
      <c r="H12" s="185">
        <v>-292598.33333333331</v>
      </c>
      <c r="I12" s="147">
        <v>-321871.5</v>
      </c>
      <c r="J12" s="186" t="s">
        <v>45</v>
      </c>
      <c r="K12" s="448">
        <v>92341.916666666482</v>
      </c>
      <c r="L12" s="147">
        <v>-163611.96999999997</v>
      </c>
    </row>
    <row r="13" spans="1:12" x14ac:dyDescent="0.3">
      <c r="A13" s="111" t="s">
        <v>12</v>
      </c>
      <c r="B13" s="147">
        <v>141904.93</v>
      </c>
      <c r="C13" s="185">
        <v>494759.55</v>
      </c>
      <c r="D13" s="147">
        <v>-368660.11</v>
      </c>
      <c r="E13" s="185">
        <v>-62240.450000000012</v>
      </c>
      <c r="F13" s="147">
        <v>-368660.11</v>
      </c>
      <c r="G13" s="148">
        <v>-226755.18</v>
      </c>
      <c r="H13" s="185">
        <v>432519.1</v>
      </c>
      <c r="I13" s="147">
        <v>-226755.18</v>
      </c>
      <c r="J13" s="186" t="s">
        <v>45</v>
      </c>
      <c r="K13" s="448">
        <v>897612.14000000013</v>
      </c>
      <c r="L13" s="147">
        <v>-666309.1</v>
      </c>
    </row>
    <row r="14" spans="1:12" x14ac:dyDescent="0.3">
      <c r="A14" s="111" t="s">
        <v>13</v>
      </c>
      <c r="B14" s="147">
        <v>2192655.5499999998</v>
      </c>
      <c r="C14" s="185">
        <v>125445.65119202808</v>
      </c>
      <c r="D14" s="147">
        <v>-806853.21</v>
      </c>
      <c r="E14" s="185">
        <v>-1371942.5436984217</v>
      </c>
      <c r="F14" s="147">
        <v>-806853.21</v>
      </c>
      <c r="G14" s="148">
        <v>1385802.3399999999</v>
      </c>
      <c r="H14" s="185">
        <v>-1246496.8925063936</v>
      </c>
      <c r="I14" s="147">
        <v>1385802.3399999999</v>
      </c>
      <c r="J14" s="186" t="s">
        <v>45</v>
      </c>
      <c r="K14" s="448">
        <v>1764607.2100263052</v>
      </c>
      <c r="L14" s="147">
        <v>-1619705.6199999996</v>
      </c>
    </row>
    <row r="15" spans="1:12" x14ac:dyDescent="0.3">
      <c r="A15" s="111" t="s">
        <v>201</v>
      </c>
      <c r="B15" s="147">
        <v>990741.37999999919</v>
      </c>
      <c r="C15" s="185">
        <v>-984105.42547463882</v>
      </c>
      <c r="D15" s="147">
        <v>-1372365.64</v>
      </c>
      <c r="E15" s="185">
        <v>-1580482.1603650886</v>
      </c>
      <c r="F15" s="147">
        <v>-1372365.64</v>
      </c>
      <c r="G15" s="148">
        <v>-381624.26000000024</v>
      </c>
      <c r="H15" s="185">
        <v>-2564587.5858397274</v>
      </c>
      <c r="I15" s="147">
        <v>-381624.26000000024</v>
      </c>
      <c r="J15" s="186" t="s">
        <v>45</v>
      </c>
      <c r="K15" s="182">
        <v>4813189.386692971</v>
      </c>
      <c r="L15" s="147">
        <v>6174746.0900000017</v>
      </c>
    </row>
    <row r="16" spans="1:12" ht="13.5" customHeight="1" x14ac:dyDescent="0.3">
      <c r="A16" s="111" t="s">
        <v>202</v>
      </c>
      <c r="B16" s="147">
        <v>-201425.6800000011</v>
      </c>
      <c r="C16" s="147">
        <v>-4437941.1823379947</v>
      </c>
      <c r="D16" s="147">
        <v>-3054005.1499999994</v>
      </c>
      <c r="E16" s="147">
        <v>-5457906.8203213029</v>
      </c>
      <c r="F16" s="147">
        <v>-3054005.1499999994</v>
      </c>
      <c r="G16" s="148">
        <v>-3255430.8300000019</v>
      </c>
      <c r="H16" s="147">
        <v>-9895848.0026592948</v>
      </c>
      <c r="I16" s="147">
        <v>-3255430.8300000019</v>
      </c>
      <c r="J16" s="186" t="s">
        <v>45</v>
      </c>
      <c r="K16" s="147">
        <v>-29001247.231077742</v>
      </c>
      <c r="L16" s="147">
        <v>26355484.170000013</v>
      </c>
    </row>
    <row r="17" spans="1:12" x14ac:dyDescent="0.3">
      <c r="A17" s="111" t="s">
        <v>203</v>
      </c>
      <c r="B17" s="147">
        <v>0</v>
      </c>
      <c r="C17" s="185">
        <v>0</v>
      </c>
      <c r="D17" s="147">
        <v>0</v>
      </c>
      <c r="E17" s="185">
        <v>0</v>
      </c>
      <c r="F17" s="147">
        <v>0</v>
      </c>
      <c r="G17" s="148">
        <v>0</v>
      </c>
      <c r="H17" s="183">
        <v>0</v>
      </c>
      <c r="I17" s="147">
        <v>0</v>
      </c>
      <c r="J17" s="186" t="s">
        <v>45</v>
      </c>
      <c r="K17" s="449">
        <v>3301000</v>
      </c>
      <c r="L17" s="147">
        <v>2524395</v>
      </c>
    </row>
    <row r="18" spans="1:12" x14ac:dyDescent="0.3">
      <c r="A18" s="111" t="s">
        <v>204</v>
      </c>
      <c r="B18" s="147">
        <v>122239.89000000001</v>
      </c>
      <c r="C18" s="185">
        <v>0</v>
      </c>
      <c r="D18" s="147">
        <v>-22367.380000000121</v>
      </c>
      <c r="E18" s="185">
        <v>0</v>
      </c>
      <c r="F18" s="147">
        <v>-22367.380000000121</v>
      </c>
      <c r="G18" s="148">
        <v>99872.509999999776</v>
      </c>
      <c r="H18" s="185">
        <v>0</v>
      </c>
      <c r="I18" s="147">
        <v>99872.509999999776</v>
      </c>
      <c r="J18" s="186" t="s">
        <v>45</v>
      </c>
      <c r="K18" s="449">
        <v>5300000</v>
      </c>
      <c r="L18" s="147">
        <v>-16504718.609999999</v>
      </c>
    </row>
    <row r="19" spans="1:12" s="110" customFormat="1" x14ac:dyDescent="0.3">
      <c r="A19" s="410" t="s">
        <v>205</v>
      </c>
      <c r="B19" s="149">
        <v>50527.47</v>
      </c>
      <c r="C19" s="186">
        <v>47281.666666666672</v>
      </c>
      <c r="D19" s="149">
        <v>992202.74</v>
      </c>
      <c r="E19" s="186">
        <v>47281.666666666672</v>
      </c>
      <c r="F19" s="149">
        <v>992202.74</v>
      </c>
      <c r="G19" s="302">
        <v>1042730.21</v>
      </c>
      <c r="H19" s="186">
        <v>94563.333333333343</v>
      </c>
      <c r="I19" s="149">
        <v>1042730.21</v>
      </c>
      <c r="J19" s="186" t="s">
        <v>45</v>
      </c>
      <c r="K19" s="449">
        <v>15467379.999999998</v>
      </c>
      <c r="L19" s="149">
        <v>8658610.0799999982</v>
      </c>
    </row>
    <row r="20" spans="1:12" x14ac:dyDescent="0.3">
      <c r="A20" s="111" t="s">
        <v>206</v>
      </c>
      <c r="B20" s="147">
        <v>0</v>
      </c>
      <c r="C20" s="185">
        <v>0</v>
      </c>
      <c r="D20" s="147">
        <v>0</v>
      </c>
      <c r="E20" s="185">
        <v>0</v>
      </c>
      <c r="F20" s="147">
        <v>0</v>
      </c>
      <c r="G20" s="148">
        <v>0</v>
      </c>
      <c r="H20" s="185">
        <v>0</v>
      </c>
      <c r="I20" s="147">
        <v>0</v>
      </c>
      <c r="J20" s="186" t="s">
        <v>45</v>
      </c>
      <c r="K20" s="449">
        <v>0</v>
      </c>
      <c r="L20" s="147">
        <v>0</v>
      </c>
    </row>
    <row r="21" spans="1:12" x14ac:dyDescent="0.3">
      <c r="A21" s="111" t="s">
        <v>207</v>
      </c>
      <c r="B21" s="147">
        <v>0</v>
      </c>
      <c r="C21" s="185">
        <v>0</v>
      </c>
      <c r="D21" s="147">
        <v>0</v>
      </c>
      <c r="E21" s="185">
        <v>0</v>
      </c>
      <c r="F21" s="147">
        <v>0</v>
      </c>
      <c r="G21" s="148">
        <v>0</v>
      </c>
      <c r="H21" s="185">
        <v>0</v>
      </c>
      <c r="I21" s="147">
        <v>0</v>
      </c>
      <c r="J21" s="186" t="s">
        <v>45</v>
      </c>
      <c r="K21" s="449">
        <v>0</v>
      </c>
      <c r="L21" s="147">
        <v>-38091753.68</v>
      </c>
    </row>
    <row r="22" spans="1:12" x14ac:dyDescent="0.3">
      <c r="A22" s="111" t="s">
        <v>208</v>
      </c>
      <c r="B22" s="147">
        <v>172767.36000000002</v>
      </c>
      <c r="C22" s="185">
        <v>47281.666666666672</v>
      </c>
      <c r="D22" s="147">
        <v>969835.35999999987</v>
      </c>
      <c r="E22" s="185">
        <v>47281.666666666672</v>
      </c>
      <c r="F22" s="147">
        <v>969835.35999999987</v>
      </c>
      <c r="G22" s="148">
        <v>1142602.7199999997</v>
      </c>
      <c r="H22" s="185">
        <v>94563.333333333343</v>
      </c>
      <c r="I22" s="147">
        <v>1142602.7199999997</v>
      </c>
      <c r="J22" s="186" t="s">
        <v>45</v>
      </c>
      <c r="K22" s="450">
        <v>24068380</v>
      </c>
      <c r="L22" s="147">
        <v>-43413467.210000001</v>
      </c>
    </row>
    <row r="23" spans="1:12" x14ac:dyDescent="0.3">
      <c r="A23" s="111" t="s">
        <v>209</v>
      </c>
      <c r="B23" s="147">
        <v>-1000000</v>
      </c>
      <c r="C23" s="185">
        <v>11000000</v>
      </c>
      <c r="D23" s="147">
        <v>0</v>
      </c>
      <c r="E23" s="185">
        <v>6000000</v>
      </c>
      <c r="F23" s="147">
        <v>0</v>
      </c>
      <c r="G23" s="148">
        <v>-1000000</v>
      </c>
      <c r="H23" s="185">
        <v>17000000</v>
      </c>
      <c r="I23" s="147">
        <v>-1000000</v>
      </c>
      <c r="J23" s="186" t="s">
        <v>45</v>
      </c>
      <c r="K23" s="421">
        <v>13600000</v>
      </c>
      <c r="L23" s="147">
        <v>-30000000</v>
      </c>
    </row>
    <row r="24" spans="1:12" x14ac:dyDescent="0.3">
      <c r="A24" s="111" t="s">
        <v>210</v>
      </c>
      <c r="B24" s="147">
        <v>-1000000</v>
      </c>
      <c r="C24" s="185">
        <v>11000000</v>
      </c>
      <c r="D24" s="147">
        <v>0</v>
      </c>
      <c r="E24" s="185">
        <v>6000000</v>
      </c>
      <c r="F24" s="147">
        <v>0</v>
      </c>
      <c r="G24" s="148">
        <v>-1000000</v>
      </c>
      <c r="H24" s="185">
        <v>17000000</v>
      </c>
      <c r="I24" s="147">
        <v>-1000000</v>
      </c>
      <c r="J24" s="186" t="s">
        <v>45</v>
      </c>
      <c r="K24" s="451">
        <v>13600000</v>
      </c>
      <c r="L24" s="147">
        <v>-30000000</v>
      </c>
    </row>
    <row r="25" spans="1:12" x14ac:dyDescent="0.3">
      <c r="A25" s="111" t="s">
        <v>211</v>
      </c>
      <c r="B25" s="147">
        <v>-1028658.3200000011</v>
      </c>
      <c r="C25" s="147">
        <v>6609340.4843286723</v>
      </c>
      <c r="D25" s="147">
        <v>-2084169.7899999993</v>
      </c>
      <c r="E25" s="147">
        <v>589374.84634536412</v>
      </c>
      <c r="F25" s="147">
        <v>-2084169.7899999993</v>
      </c>
      <c r="G25" s="148">
        <v>-3112828.1100000022</v>
      </c>
      <c r="H25" s="147">
        <v>7198715.3306740392</v>
      </c>
      <c r="I25" s="147">
        <v>-3112828.1100000022</v>
      </c>
      <c r="J25" s="186" t="s">
        <v>45</v>
      </c>
      <c r="K25" s="147">
        <v>8667132.7689222563</v>
      </c>
      <c r="L25" s="147">
        <v>-47057983.039999992</v>
      </c>
    </row>
    <row r="26" spans="1:12" x14ac:dyDescent="0.3">
      <c r="A26" s="111" t="s">
        <v>212</v>
      </c>
      <c r="B26" s="147">
        <v>384656.70999999845</v>
      </c>
      <c r="C26" s="185">
        <v>-2888849.8558693295</v>
      </c>
      <c r="D26" s="147">
        <v>870075.68</v>
      </c>
      <c r="E26" s="185">
        <v>74748.635576042347</v>
      </c>
      <c r="F26" s="147">
        <v>870075.68</v>
      </c>
      <c r="G26" s="148">
        <v>1254732.3899999985</v>
      </c>
      <c r="H26" s="185">
        <v>-2814101.2202932872</v>
      </c>
      <c r="I26" s="147">
        <v>1254732.3899999985</v>
      </c>
      <c r="J26" s="186" t="s">
        <v>45</v>
      </c>
      <c r="K26" s="185">
        <v>-3507955.3824356375</v>
      </c>
      <c r="L26" s="147">
        <v>-2982625.8699999973</v>
      </c>
    </row>
    <row r="28" spans="1:12" x14ac:dyDescent="0.3">
      <c r="K28" s="117">
        <f>SUM(K5:K25)+K26</f>
        <v>-34094.991205186583</v>
      </c>
    </row>
    <row r="31" spans="1:12" customFormat="1" ht="13.2" x14ac:dyDescent="0.25">
      <c r="B31" s="46"/>
      <c r="C31" s="46"/>
      <c r="D31" s="46"/>
      <c r="E31" s="46"/>
      <c r="F31" s="46"/>
      <c r="G31" s="46"/>
      <c r="H31" s="46"/>
      <c r="I31" s="46"/>
      <c r="J31" s="46"/>
      <c r="K31" s="46">
        <f>K16+2300000</f>
        <v>-26701247.231077742</v>
      </c>
      <c r="L31" s="46"/>
    </row>
    <row r="32" spans="1:12" customFormat="1" ht="13.2" x14ac:dyDescent="0.25">
      <c r="B32" s="46"/>
      <c r="C32" s="46"/>
      <c r="D32" s="48"/>
      <c r="E32" s="48"/>
      <c r="F32" s="48"/>
      <c r="G32" s="48"/>
      <c r="H32" s="48"/>
      <c r="I32" s="48"/>
      <c r="J32" s="46"/>
      <c r="K32" s="48"/>
      <c r="L32" s="46"/>
    </row>
    <row r="34" spans="8:8" x14ac:dyDescent="0.3">
      <c r="H34" s="117">
        <v>15205</v>
      </c>
    </row>
    <row r="35" spans="8:8" x14ac:dyDescent="0.3">
      <c r="H35" s="117">
        <v>812</v>
      </c>
    </row>
    <row r="36" spans="8:8" x14ac:dyDescent="0.3">
      <c r="H36" s="117">
        <v>3033</v>
      </c>
    </row>
    <row r="37" spans="8:8" x14ac:dyDescent="0.3">
      <c r="H37" s="117">
        <v>-20508</v>
      </c>
    </row>
  </sheetData>
  <phoneticPr fontId="31" type="noConversion"/>
  <printOptions gridLines="1"/>
  <pageMargins left="0" right="0" top="1" bottom="0.5" header="0.5" footer="0.25"/>
  <pageSetup scale="69" orientation="landscape" r:id="rId1"/>
  <headerFooter alignWithMargins="0">
    <oddFooter>&amp;L&amp;Z&amp;F     
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X116"/>
  <sheetViews>
    <sheetView zoomScale="85" zoomScaleNormal="85" workbookViewId="0">
      <pane ySplit="3" topLeftCell="A37" activePane="bottomLeft" state="frozen"/>
      <selection activeCell="K43" sqref="K43"/>
      <selection pane="bottomLeft" sqref="A1:I54"/>
    </sheetView>
  </sheetViews>
  <sheetFormatPr defaultColWidth="9.109375" defaultRowHeight="13.8" x14ac:dyDescent="0.3"/>
  <cols>
    <col min="1" max="1" width="30.44140625" style="110" customWidth="1"/>
    <col min="2" max="2" width="16.44140625" style="110" customWidth="1"/>
    <col min="3" max="4" width="16.44140625" style="143" customWidth="1"/>
    <col min="5" max="5" width="16.44140625" style="490" customWidth="1"/>
    <col min="6" max="9" width="16.44140625" style="138" customWidth="1"/>
    <col min="10" max="11" width="5.6640625" style="503" customWidth="1"/>
    <col min="12" max="12" width="45.5546875" style="110" bestFit="1" customWidth="1"/>
    <col min="13" max="14" width="10.44140625" style="110" customWidth="1"/>
    <col min="15" max="15" width="1.6640625" style="110" customWidth="1"/>
    <col min="16" max="17" width="10.44140625" style="110" customWidth="1"/>
    <col min="18" max="18" width="1.6640625" style="110" customWidth="1"/>
    <col min="19" max="20" width="10.44140625" style="110" customWidth="1"/>
    <col min="21" max="16384" width="9.109375" style="110"/>
  </cols>
  <sheetData>
    <row r="1" spans="1:23" x14ac:dyDescent="0.3">
      <c r="A1" s="609"/>
      <c r="B1" s="610"/>
      <c r="C1" s="611" t="s">
        <v>1</v>
      </c>
      <c r="D1" s="611" t="s">
        <v>72</v>
      </c>
      <c r="E1" s="443"/>
      <c r="F1" s="612"/>
      <c r="G1" s="612"/>
      <c r="H1" s="612"/>
      <c r="I1" s="613"/>
      <c r="N1" s="139"/>
      <c r="O1" s="139"/>
      <c r="P1" s="139"/>
      <c r="Q1" s="139"/>
      <c r="R1" s="139"/>
    </row>
    <row r="2" spans="1:23" x14ac:dyDescent="0.3">
      <c r="A2" s="614"/>
      <c r="B2" s="607" t="s">
        <v>481</v>
      </c>
      <c r="C2" s="607" t="s">
        <v>501</v>
      </c>
      <c r="D2" s="607" t="s">
        <v>501</v>
      </c>
      <c r="E2" s="607" t="s">
        <v>501</v>
      </c>
      <c r="F2" s="607" t="s">
        <v>501</v>
      </c>
      <c r="G2" s="607" t="s">
        <v>501</v>
      </c>
      <c r="H2" s="607" t="s">
        <v>501</v>
      </c>
      <c r="I2" s="615" t="s">
        <v>501</v>
      </c>
      <c r="L2" s="124" t="s">
        <v>444</v>
      </c>
      <c r="M2" s="124" t="s">
        <v>445</v>
      </c>
      <c r="N2" s="124" t="s">
        <v>446</v>
      </c>
      <c r="O2" s="124" t="s">
        <v>447</v>
      </c>
      <c r="P2" s="124" t="s">
        <v>448</v>
      </c>
      <c r="Q2" s="124" t="s">
        <v>449</v>
      </c>
      <c r="R2" s="124" t="s">
        <v>450</v>
      </c>
      <c r="S2" s="124" t="s">
        <v>451</v>
      </c>
      <c r="T2" s="124" t="s">
        <v>452</v>
      </c>
    </row>
    <row r="3" spans="1:23" x14ac:dyDescent="0.3">
      <c r="A3" s="614"/>
      <c r="B3" s="607" t="s">
        <v>53</v>
      </c>
      <c r="C3" s="607" t="s">
        <v>537</v>
      </c>
      <c r="D3" s="607" t="s">
        <v>537</v>
      </c>
      <c r="E3" s="607" t="s">
        <v>544</v>
      </c>
      <c r="F3" s="607" t="s">
        <v>544</v>
      </c>
      <c r="G3" s="607" t="s">
        <v>544</v>
      </c>
      <c r="H3" s="607" t="s">
        <v>53</v>
      </c>
      <c r="I3" s="615" t="s">
        <v>53</v>
      </c>
      <c r="M3" s="1252" t="s">
        <v>40</v>
      </c>
      <c r="N3" s="1252"/>
      <c r="O3" s="1205"/>
      <c r="P3" s="1252" t="s">
        <v>275</v>
      </c>
      <c r="Q3" s="1252"/>
      <c r="R3" s="1205"/>
      <c r="S3" s="1252" t="s">
        <v>30</v>
      </c>
      <c r="T3" s="1252"/>
    </row>
    <row r="4" spans="1:23" x14ac:dyDescent="0.3">
      <c r="A4" s="614"/>
      <c r="B4" s="607" t="s">
        <v>2</v>
      </c>
      <c r="C4" s="607" t="s">
        <v>2</v>
      </c>
      <c r="D4" s="607" t="s">
        <v>3</v>
      </c>
      <c r="E4" s="444" t="s">
        <v>2</v>
      </c>
      <c r="F4" s="607" t="s">
        <v>3</v>
      </c>
      <c r="G4" s="607" t="s">
        <v>2</v>
      </c>
      <c r="H4" s="616" t="s">
        <v>49</v>
      </c>
      <c r="I4" s="615" t="s">
        <v>3</v>
      </c>
      <c r="M4" s="1205" t="s">
        <v>2</v>
      </c>
      <c r="N4" s="1205" t="s">
        <v>3</v>
      </c>
      <c r="O4" s="1205"/>
      <c r="P4" s="1205" t="s">
        <v>2</v>
      </c>
      <c r="Q4" s="1205" t="s">
        <v>3</v>
      </c>
      <c r="R4" s="1205"/>
      <c r="S4" s="1205" t="s">
        <v>307</v>
      </c>
      <c r="T4" s="1205" t="s">
        <v>3</v>
      </c>
      <c r="U4" s="110">
        <v>4</v>
      </c>
    </row>
    <row r="5" spans="1:23" ht="14.4" x14ac:dyDescent="0.3">
      <c r="A5" s="618" t="s">
        <v>315</v>
      </c>
      <c r="B5" s="431">
        <v>33004932.11999999</v>
      </c>
      <c r="C5" s="433">
        <v>65807134.439999998</v>
      </c>
      <c r="D5" s="433" t="s">
        <v>45</v>
      </c>
      <c r="E5" s="1132">
        <v>53159547.429999992</v>
      </c>
      <c r="F5" s="433" t="s">
        <v>45</v>
      </c>
      <c r="G5" s="433">
        <v>53159547.429999992</v>
      </c>
      <c r="H5" s="433" t="s">
        <v>45</v>
      </c>
      <c r="I5" s="513" t="s">
        <v>45</v>
      </c>
      <c r="L5" s="493" t="s">
        <v>16</v>
      </c>
      <c r="M5" s="1205"/>
      <c r="N5" s="1205"/>
      <c r="O5" s="1205"/>
      <c r="P5" s="1205"/>
      <c r="Q5" s="1205"/>
      <c r="R5" s="1205"/>
      <c r="S5" s="1205"/>
      <c r="T5" s="1205"/>
      <c r="U5" s="110">
        <v>5</v>
      </c>
    </row>
    <row r="6" spans="1:23" x14ac:dyDescent="0.3">
      <c r="A6" s="618" t="s">
        <v>335</v>
      </c>
      <c r="B6" s="431">
        <v>0</v>
      </c>
      <c r="C6" s="433">
        <v>0</v>
      </c>
      <c r="D6" s="433" t="s">
        <v>45</v>
      </c>
      <c r="E6" s="1132">
        <v>0</v>
      </c>
      <c r="F6" s="433" t="s">
        <v>45</v>
      </c>
      <c r="G6" s="433">
        <v>0</v>
      </c>
      <c r="H6" s="433" t="s">
        <v>45</v>
      </c>
      <c r="I6" s="513" t="s">
        <v>45</v>
      </c>
      <c r="L6" s="108" t="s">
        <v>357</v>
      </c>
      <c r="M6" s="136">
        <f>+income!B35</f>
        <v>-5181.8208500000019</v>
      </c>
      <c r="N6" s="136">
        <f>+income!C35</f>
        <v>0</v>
      </c>
      <c r="O6" s="136"/>
      <c r="P6" s="136">
        <f>+income!E35</f>
        <v>-6045.9377100000156</v>
      </c>
      <c r="Q6" s="136">
        <f>+income!F35</f>
        <v>0</v>
      </c>
      <c r="R6" s="136"/>
      <c r="S6" s="136">
        <f>+income!I35</f>
        <v>0</v>
      </c>
      <c r="T6" s="136">
        <f>+income!H35</f>
        <v>-4915.0753100000029</v>
      </c>
      <c r="U6" s="110">
        <v>6</v>
      </c>
      <c r="W6" s="139"/>
    </row>
    <row r="7" spans="1:23" x14ac:dyDescent="0.3">
      <c r="A7" s="618" t="s">
        <v>316</v>
      </c>
      <c r="B7" s="431">
        <v>31102732.469999932</v>
      </c>
      <c r="C7" s="433">
        <v>41048999.540000044</v>
      </c>
      <c r="D7" s="433" t="s">
        <v>45</v>
      </c>
      <c r="E7" s="1132">
        <v>-14368807.579999957</v>
      </c>
      <c r="F7" s="433" t="s">
        <v>45</v>
      </c>
      <c r="G7" s="433">
        <v>-14368807.579999957</v>
      </c>
      <c r="H7" s="433" t="s">
        <v>45</v>
      </c>
      <c r="I7" s="513" t="s">
        <v>45</v>
      </c>
      <c r="L7" s="108" t="s">
        <v>358</v>
      </c>
      <c r="M7" s="136">
        <f>+'essincome-SME'!D30</f>
        <v>-379.05113999999998</v>
      </c>
      <c r="N7" s="136">
        <f>+'income-SME'!C21</f>
        <v>0</v>
      </c>
      <c r="O7" s="136"/>
      <c r="P7" s="136">
        <f>+'essincome-SME'!G30</f>
        <v>-379.05114000000322</v>
      </c>
      <c r="Q7" s="136">
        <f>+'essincome-SME'!H30</f>
        <v>0</v>
      </c>
      <c r="R7" s="136"/>
      <c r="S7" s="136">
        <f>+'income-SME'!I21</f>
        <v>0</v>
      </c>
      <c r="T7" s="136">
        <f>+'income-SME'!F21</f>
        <v>0</v>
      </c>
      <c r="U7" s="110">
        <v>7</v>
      </c>
      <c r="V7" s="139"/>
      <c r="W7" s="139"/>
    </row>
    <row r="8" spans="1:23" x14ac:dyDescent="0.3">
      <c r="A8" s="618" t="s">
        <v>317</v>
      </c>
      <c r="B8" s="431">
        <v>6613649.7999999998</v>
      </c>
      <c r="C8" s="433">
        <v>6714823.3899999997</v>
      </c>
      <c r="D8" s="433" t="s">
        <v>45</v>
      </c>
      <c r="E8" s="1132">
        <v>6369720.8899999997</v>
      </c>
      <c r="F8" s="433" t="s">
        <v>45</v>
      </c>
      <c r="G8" s="433">
        <v>6369720.8899999997</v>
      </c>
      <c r="H8" s="433" t="s">
        <v>45</v>
      </c>
      <c r="I8" s="513" t="s">
        <v>45</v>
      </c>
      <c r="L8" s="108" t="s">
        <v>403</v>
      </c>
      <c r="M8" s="136">
        <f>(essincome!C28+essincome!C29)/1000</f>
        <v>0</v>
      </c>
      <c r="N8" s="136">
        <f>(essincome!D28+essincome!D29)/1000</f>
        <v>0</v>
      </c>
      <c r="O8" s="1205"/>
      <c r="P8" s="136">
        <f>(essincome!F28+essincome!F29)/1000</f>
        <v>0</v>
      </c>
      <c r="Q8" s="136">
        <f>(essincome!G28+essincome!G29)/1000</f>
        <v>0</v>
      </c>
      <c r="R8" s="1205"/>
      <c r="S8" s="136">
        <f>(essincome!I28+essincome!I29)/1000</f>
        <v>0</v>
      </c>
      <c r="T8" s="136">
        <f>(essincome!J28+essincome!J29)/1000</f>
        <v>0</v>
      </c>
      <c r="U8" s="110">
        <v>8</v>
      </c>
    </row>
    <row r="9" spans="1:23" x14ac:dyDescent="0.3">
      <c r="A9" s="617" t="s">
        <v>318</v>
      </c>
      <c r="B9" s="429">
        <v>70721314.390001923</v>
      </c>
      <c r="C9" s="430">
        <v>113570957.37000194</v>
      </c>
      <c r="D9" s="430" t="s">
        <v>45</v>
      </c>
      <c r="E9" s="1133">
        <v>56429703.80000177</v>
      </c>
      <c r="F9" s="430" t="s">
        <v>45</v>
      </c>
      <c r="G9" s="430">
        <v>56429703.80000177</v>
      </c>
      <c r="H9" s="430" t="s">
        <v>45</v>
      </c>
      <c r="I9" s="665" t="s">
        <v>45</v>
      </c>
      <c r="L9" s="108" t="s">
        <v>499</v>
      </c>
      <c r="M9" s="136">
        <f>-(essincome!C87+essincome!C90)/1000</f>
        <v>0</v>
      </c>
      <c r="N9" s="136">
        <f>-(essincome!D87+essincome!D90)/1000</f>
        <v>0</v>
      </c>
      <c r="O9" s="1211"/>
      <c r="P9" s="136">
        <f>-(essincome!F87+essincome!F90)/1000</f>
        <v>1321.82881</v>
      </c>
      <c r="Q9" s="136">
        <f>-(essincome!G87+essincome!G90)/1000</f>
        <v>0</v>
      </c>
      <c r="R9" s="1211"/>
      <c r="S9" s="136">
        <f>-(essincome!I87+essincome!I90)/1000</f>
        <v>0</v>
      </c>
      <c r="T9" s="136">
        <f>-(essincome!J87+essincome!J90)/1000</f>
        <v>0</v>
      </c>
    </row>
    <row r="10" spans="1:23" x14ac:dyDescent="0.3">
      <c r="A10" s="618" t="s">
        <v>319</v>
      </c>
      <c r="B10" s="431">
        <v>463232322.11000007</v>
      </c>
      <c r="C10" s="433">
        <v>467347060.00999999</v>
      </c>
      <c r="D10" s="433" t="s">
        <v>45</v>
      </c>
      <c r="E10" s="1132">
        <v>467347060.00999999</v>
      </c>
      <c r="F10" s="433" t="s">
        <v>45</v>
      </c>
      <c r="G10" s="433">
        <v>467347060.00999999</v>
      </c>
      <c r="H10" s="433" t="s">
        <v>45</v>
      </c>
      <c r="I10" s="513" t="s">
        <v>45</v>
      </c>
    </row>
    <row r="11" spans="1:23" x14ac:dyDescent="0.3">
      <c r="A11" s="618" t="s">
        <v>320</v>
      </c>
      <c r="B11" s="431">
        <v>-369808793.94</v>
      </c>
      <c r="C11" s="433">
        <v>-379073184.47000003</v>
      </c>
      <c r="D11" s="433" t="s">
        <v>45</v>
      </c>
      <c r="E11" s="1132">
        <v>-379073184.47000003</v>
      </c>
      <c r="F11" s="433" t="s">
        <v>45</v>
      </c>
      <c r="G11" s="433">
        <v>-379073184.47000003</v>
      </c>
      <c r="H11" s="433" t="s">
        <v>45</v>
      </c>
      <c r="I11" s="513" t="s">
        <v>45</v>
      </c>
      <c r="L11" s="115" t="s">
        <v>359</v>
      </c>
      <c r="M11" s="1205"/>
      <c r="N11" s="1205"/>
      <c r="O11" s="1205"/>
      <c r="P11" s="1205"/>
      <c r="Q11" s="1205"/>
      <c r="R11" s="1205"/>
      <c r="S11" s="1205"/>
      <c r="T11" s="1205"/>
      <c r="U11" s="110">
        <v>9</v>
      </c>
    </row>
    <row r="12" spans="1:23" ht="13.2" customHeight="1" x14ac:dyDescent="0.3">
      <c r="A12" s="618" t="s">
        <v>304</v>
      </c>
      <c r="B12" s="431">
        <v>36911132.990000017</v>
      </c>
      <c r="C12" s="433">
        <v>37229399.899999999</v>
      </c>
      <c r="D12" s="433" t="s">
        <v>45</v>
      </c>
      <c r="E12" s="1132">
        <v>37229399.899999999</v>
      </c>
      <c r="F12" s="433" t="s">
        <v>45</v>
      </c>
      <c r="G12" s="433">
        <v>37229399.899999999</v>
      </c>
      <c r="H12" s="433" t="s">
        <v>45</v>
      </c>
      <c r="I12" s="513" t="s">
        <v>45</v>
      </c>
      <c r="L12" s="409" t="s">
        <v>361</v>
      </c>
      <c r="M12" s="139">
        <f>(C11-E11)/1000</f>
        <v>0</v>
      </c>
      <c r="N12" s="139">
        <f>(D11-F11)/1000</f>
        <v>0</v>
      </c>
      <c r="O12" s="139"/>
      <c r="P12" s="143">
        <f>(B11-E11)/1000</f>
        <v>9264.3905300000315</v>
      </c>
      <c r="Q12" s="143">
        <f>(B11-F11)/1000</f>
        <v>-369808.79394</v>
      </c>
      <c r="R12" s="143"/>
      <c r="S12" s="139">
        <f>(B11-H11)/1000</f>
        <v>-369808.79394</v>
      </c>
      <c r="T12" s="139">
        <f>(B11-I11)/1000</f>
        <v>-369808.79394</v>
      </c>
      <c r="U12" s="110">
        <v>10</v>
      </c>
      <c r="W12" s="139"/>
    </row>
    <row r="13" spans="1:23" x14ac:dyDescent="0.3">
      <c r="A13" s="618" t="s">
        <v>305</v>
      </c>
      <c r="B13" s="431">
        <v>-29189415.140000008</v>
      </c>
      <c r="C13" s="433">
        <v>-30864411.969999999</v>
      </c>
      <c r="D13" s="433" t="s">
        <v>45</v>
      </c>
      <c r="E13" s="1132">
        <v>-30864411.969999999</v>
      </c>
      <c r="F13" s="433" t="s">
        <v>45</v>
      </c>
      <c r="G13" s="433">
        <v>-30864411.969999999</v>
      </c>
      <c r="H13" s="433" t="s">
        <v>45</v>
      </c>
      <c r="I13" s="513" t="s">
        <v>45</v>
      </c>
      <c r="L13" s="409" t="s">
        <v>382</v>
      </c>
      <c r="M13" s="139">
        <f>(C37-E37)/1000</f>
        <v>449.21208000002429</v>
      </c>
      <c r="N13" s="139">
        <f>(D37-F37)/1000</f>
        <v>0</v>
      </c>
      <c r="O13" s="139"/>
      <c r="P13" s="143">
        <f>(B37-E37)/1000</f>
        <v>-4107.3984799999853</v>
      </c>
      <c r="Q13" s="143">
        <f>(B37-F37)/1000</f>
        <v>-34620.33866999999</v>
      </c>
      <c r="R13" s="143"/>
      <c r="S13" s="808">
        <f>(B37-H37)/1000</f>
        <v>-34620.33866999999</v>
      </c>
      <c r="T13" s="139">
        <f>(B37-I37)/1000</f>
        <v>-34620.33866999999</v>
      </c>
      <c r="U13" s="110">
        <v>11</v>
      </c>
      <c r="W13" s="139"/>
    </row>
    <row r="14" spans="1:23" x14ac:dyDescent="0.3">
      <c r="A14" s="618" t="s">
        <v>321</v>
      </c>
      <c r="B14" s="431">
        <v>1.1920928955078125E-7</v>
      </c>
      <c r="C14" s="433">
        <v>-2.9802322387695313E-8</v>
      </c>
      <c r="D14" s="433" t="s">
        <v>45</v>
      </c>
      <c r="E14" s="1132">
        <v>12197.77999997139</v>
      </c>
      <c r="F14" s="433" t="s">
        <v>45</v>
      </c>
      <c r="G14" s="433">
        <v>12197.77999997139</v>
      </c>
      <c r="H14" s="433" t="s">
        <v>45</v>
      </c>
      <c r="I14" s="513" t="s">
        <v>45</v>
      </c>
      <c r="L14" s="409" t="s">
        <v>333</v>
      </c>
      <c r="M14" s="139">
        <f>(C38-E38)/1000</f>
        <v>601.89634999997918</v>
      </c>
      <c r="N14" s="139">
        <f>(D38-F38)/1000</f>
        <v>0</v>
      </c>
      <c r="O14" s="139"/>
      <c r="P14" s="143">
        <f>(B38-E38)/1000</f>
        <v>3290.4624299999923</v>
      </c>
      <c r="Q14" s="143">
        <f>(B38-F38)/1000</f>
        <v>-90251.32004999998</v>
      </c>
      <c r="R14" s="143"/>
      <c r="S14" s="139">
        <f>(B38-H38)/1000</f>
        <v>-90251.32004999998</v>
      </c>
      <c r="T14" s="139">
        <f>(B38-I38)/1000</f>
        <v>-90251.32004999998</v>
      </c>
      <c r="U14" s="110">
        <v>12</v>
      </c>
      <c r="W14" s="139"/>
    </row>
    <row r="15" spans="1:23" x14ac:dyDescent="0.3">
      <c r="A15" s="618" t="s">
        <v>322</v>
      </c>
      <c r="B15" s="431">
        <v>11623311.919999991</v>
      </c>
      <c r="C15" s="433">
        <v>12037981.580000035</v>
      </c>
      <c r="D15" s="433" t="s">
        <v>45</v>
      </c>
      <c r="E15" s="1132">
        <v>12392486.620000057</v>
      </c>
      <c r="F15" s="433" t="s">
        <v>45</v>
      </c>
      <c r="G15" s="433">
        <v>12392486.620000057</v>
      </c>
      <c r="H15" s="433" t="s">
        <v>45</v>
      </c>
      <c r="I15" s="513" t="s">
        <v>45</v>
      </c>
      <c r="L15" s="492" t="s">
        <v>365</v>
      </c>
      <c r="M15" s="139">
        <f>(E54-C54)/1000</f>
        <v>0</v>
      </c>
      <c r="N15" s="139">
        <f>(F54-D54)/1000</f>
        <v>0</v>
      </c>
      <c r="O15" s="139"/>
      <c r="P15" s="143">
        <f>E54/1000</f>
        <v>-1333.3015800000001</v>
      </c>
      <c r="Q15" s="143">
        <f>F54/1000</f>
        <v>0</v>
      </c>
      <c r="R15" s="143"/>
      <c r="S15" s="139">
        <f>H54/1000</f>
        <v>0</v>
      </c>
      <c r="T15" s="139">
        <f>I54/1000</f>
        <v>0</v>
      </c>
      <c r="U15" s="110">
        <v>13</v>
      </c>
      <c r="W15" s="139"/>
    </row>
    <row r="16" spans="1:23" x14ac:dyDescent="0.3">
      <c r="A16" s="662" t="s">
        <v>323</v>
      </c>
      <c r="B16" s="663">
        <v>11623311.919999838</v>
      </c>
      <c r="C16" s="664">
        <v>12037981.580000013</v>
      </c>
      <c r="D16" s="664" t="s">
        <v>45</v>
      </c>
      <c r="E16" s="1132">
        <v>12404684.399999976</v>
      </c>
      <c r="F16" s="664" t="s">
        <v>45</v>
      </c>
      <c r="G16" s="664">
        <v>12404684.399999976</v>
      </c>
      <c r="H16" s="664" t="s">
        <v>45</v>
      </c>
      <c r="I16" s="873" t="s">
        <v>45</v>
      </c>
      <c r="L16" s="115"/>
      <c r="M16" s="1205"/>
      <c r="N16" s="1205"/>
      <c r="O16" s="1205"/>
      <c r="P16" s="1205"/>
      <c r="Q16" s="1205"/>
      <c r="R16" s="1205"/>
      <c r="S16" s="1205"/>
      <c r="T16" s="1205"/>
      <c r="U16" s="110">
        <v>14</v>
      </c>
      <c r="W16" s="139"/>
    </row>
    <row r="17" spans="1:24" x14ac:dyDescent="0.3">
      <c r="A17" s="617" t="s">
        <v>324</v>
      </c>
      <c r="B17" s="429">
        <v>105046840.08999994</v>
      </c>
      <c r="C17" s="430">
        <v>100311857.12000006</v>
      </c>
      <c r="D17" s="430" t="s">
        <v>45</v>
      </c>
      <c r="E17" s="1133">
        <v>100678559.94</v>
      </c>
      <c r="F17" s="430" t="s">
        <v>45</v>
      </c>
      <c r="G17" s="430">
        <v>100678559.94</v>
      </c>
      <c r="H17" s="430" t="s">
        <v>45</v>
      </c>
      <c r="I17" s="665" t="s">
        <v>45</v>
      </c>
      <c r="L17" s="115" t="s">
        <v>360</v>
      </c>
      <c r="M17" s="1205"/>
      <c r="N17" s="1205"/>
      <c r="O17" s="1205"/>
      <c r="P17" s="1205"/>
      <c r="Q17" s="1205"/>
      <c r="R17" s="1205"/>
      <c r="S17" s="1205"/>
      <c r="T17" s="1205"/>
      <c r="U17" s="110">
        <v>15</v>
      </c>
      <c r="W17" s="139"/>
    </row>
    <row r="18" spans="1:24" x14ac:dyDescent="0.3">
      <c r="A18" s="618" t="s">
        <v>336</v>
      </c>
      <c r="B18" s="431">
        <v>0</v>
      </c>
      <c r="C18" s="433">
        <v>0</v>
      </c>
      <c r="D18" s="433" t="s">
        <v>45</v>
      </c>
      <c r="E18" s="1132">
        <v>0</v>
      </c>
      <c r="F18" s="433" t="s">
        <v>45</v>
      </c>
      <c r="G18" s="433">
        <v>0</v>
      </c>
      <c r="H18" s="433" t="s">
        <v>45</v>
      </c>
      <c r="I18" s="513" t="s">
        <v>45</v>
      </c>
      <c r="L18" s="409" t="s">
        <v>531</v>
      </c>
      <c r="M18" s="139">
        <f>(C23-E23)/1000</f>
        <v>0</v>
      </c>
      <c r="N18" s="139">
        <f>(D23-F23)/1000</f>
        <v>0</v>
      </c>
      <c r="O18" s="139"/>
      <c r="P18" s="143">
        <f>(B23-E23)/1000</f>
        <v>10748.293969999999</v>
      </c>
      <c r="Q18" s="143">
        <f>(B23-F23)/1000</f>
        <v>65063.840179999999</v>
      </c>
      <c r="R18" s="143"/>
      <c r="S18" s="139">
        <f>($B23-H23)/1000</f>
        <v>65063.840179999999</v>
      </c>
      <c r="T18" s="139">
        <f>($B23-I23)/1000</f>
        <v>65063.840179999999</v>
      </c>
      <c r="U18" s="110">
        <v>16</v>
      </c>
    </row>
    <row r="19" spans="1:24" x14ac:dyDescent="0.3">
      <c r="A19" s="618" t="s">
        <v>337</v>
      </c>
      <c r="B19" s="431">
        <v>0</v>
      </c>
      <c r="C19" s="433">
        <v>0</v>
      </c>
      <c r="D19" s="433" t="s">
        <v>45</v>
      </c>
      <c r="E19" s="1132">
        <v>0</v>
      </c>
      <c r="F19" s="433" t="s">
        <v>45</v>
      </c>
      <c r="G19" s="433">
        <v>0</v>
      </c>
      <c r="H19" s="433" t="s">
        <v>45</v>
      </c>
      <c r="I19" s="513" t="s">
        <v>45</v>
      </c>
      <c r="L19" s="409" t="s">
        <v>327</v>
      </c>
      <c r="M19" s="139">
        <f>(C26-E26)/1000</f>
        <v>-3823.3836000000015</v>
      </c>
      <c r="N19" s="139">
        <f>(D26-F26)/1000</f>
        <v>0</v>
      </c>
      <c r="O19" s="139"/>
      <c r="P19" s="143">
        <f>(B26-E26)/1000</f>
        <v>142.63985999999568</v>
      </c>
      <c r="Q19" s="143">
        <f>(B26-F26)/1000</f>
        <v>-30373.409620000002</v>
      </c>
      <c r="R19" s="143"/>
      <c r="S19" s="139">
        <f>($B26-H26)/1000</f>
        <v>-30373.409620000002</v>
      </c>
      <c r="T19" s="139">
        <f>($B26-I26)/1000</f>
        <v>-30373.409620000002</v>
      </c>
      <c r="U19" s="110">
        <v>17</v>
      </c>
      <c r="W19" s="139"/>
    </row>
    <row r="20" spans="1:24" x14ac:dyDescent="0.3">
      <c r="A20" s="617" t="s">
        <v>338</v>
      </c>
      <c r="B20" s="429">
        <v>0</v>
      </c>
      <c r="C20" s="430">
        <v>0</v>
      </c>
      <c r="D20" s="430" t="s">
        <v>45</v>
      </c>
      <c r="E20" s="1133">
        <v>0</v>
      </c>
      <c r="F20" s="430" t="s">
        <v>45</v>
      </c>
      <c r="G20" s="430">
        <v>0</v>
      </c>
      <c r="H20" s="430" t="s">
        <v>45</v>
      </c>
      <c r="I20" s="665" t="s">
        <v>45</v>
      </c>
      <c r="L20" s="409" t="s">
        <v>328</v>
      </c>
      <c r="M20" s="139">
        <f t="shared" ref="M20:N22" si="0">(C28-E28)/1000</f>
        <v>565.59869999999182</v>
      </c>
      <c r="N20" s="139">
        <f t="shared" si="0"/>
        <v>0</v>
      </c>
      <c r="O20" s="139"/>
      <c r="P20" s="143">
        <f>(B28-E28)/1000</f>
        <v>3772.8336100000311</v>
      </c>
      <c r="Q20" s="143">
        <f>(B28-F28)/1000</f>
        <v>-2981.5414999999784</v>
      </c>
      <c r="R20" s="143"/>
      <c r="S20" s="139">
        <f t="shared" ref="S20:T22" si="1">($B28-H28)/1000</f>
        <v>-2981.5414999999784</v>
      </c>
      <c r="T20" s="139">
        <f t="shared" si="1"/>
        <v>-2981.5414999999784</v>
      </c>
      <c r="U20" s="110">
        <v>18</v>
      </c>
      <c r="W20" s="139"/>
    </row>
    <row r="21" spans="1:24" s="142" customFormat="1" x14ac:dyDescent="0.3">
      <c r="A21" s="619" t="s">
        <v>306</v>
      </c>
      <c r="B21" s="434">
        <v>281186539.56000215</v>
      </c>
      <c r="C21" s="435">
        <v>310016471.60000169</v>
      </c>
      <c r="D21" s="435" t="s">
        <v>45</v>
      </c>
      <c r="E21" s="1133">
        <v>253324773.35000166</v>
      </c>
      <c r="F21" s="435" t="s">
        <v>45</v>
      </c>
      <c r="G21" s="435">
        <v>253324773.35000166</v>
      </c>
      <c r="H21" s="435" t="s">
        <v>45</v>
      </c>
      <c r="I21" s="874" t="s">
        <v>45</v>
      </c>
      <c r="J21" s="503"/>
      <c r="K21" s="503"/>
      <c r="L21" s="409" t="s">
        <v>329</v>
      </c>
      <c r="M21" s="139">
        <f t="shared" si="0"/>
        <v>-390.76803000000001</v>
      </c>
      <c r="N21" s="139">
        <f t="shared" si="0"/>
        <v>0</v>
      </c>
      <c r="O21" s="139"/>
      <c r="P21" s="143">
        <f>(B29-E29)/1000</f>
        <v>-75.213219999998572</v>
      </c>
      <c r="Q21" s="143">
        <f>(B29-F29)/1000</f>
        <v>-1203.1507599999991</v>
      </c>
      <c r="R21" s="143"/>
      <c r="S21" s="139">
        <f t="shared" si="1"/>
        <v>-1203.1507599999991</v>
      </c>
      <c r="T21" s="139">
        <f t="shared" si="1"/>
        <v>-1203.1507599999991</v>
      </c>
      <c r="U21" s="110">
        <v>19</v>
      </c>
      <c r="V21" s="110"/>
      <c r="W21" s="139"/>
      <c r="X21" s="110"/>
    </row>
    <row r="22" spans="1:24" x14ac:dyDescent="0.3">
      <c r="A22" s="717" t="s">
        <v>325</v>
      </c>
      <c r="B22" s="718">
        <v>40354544.899999999</v>
      </c>
      <c r="C22" s="719">
        <v>41818110.899999999</v>
      </c>
      <c r="D22" s="719" t="s">
        <v>45</v>
      </c>
      <c r="E22" s="1134">
        <v>41900963.399999999</v>
      </c>
      <c r="F22" s="719" t="s">
        <v>45</v>
      </c>
      <c r="G22" s="719">
        <v>41900963.399999999</v>
      </c>
      <c r="H22" s="719" t="s">
        <v>45</v>
      </c>
      <c r="I22" s="875" t="s">
        <v>45</v>
      </c>
      <c r="L22" s="409" t="s">
        <v>330</v>
      </c>
      <c r="M22" s="139">
        <f t="shared" si="0"/>
        <v>-5742.6337700000049</v>
      </c>
      <c r="N22" s="139">
        <f t="shared" si="0"/>
        <v>0</v>
      </c>
      <c r="O22" s="139"/>
      <c r="P22" s="143">
        <f>(B30-E30)/1000</f>
        <v>-12860.982380000025</v>
      </c>
      <c r="Q22" s="143">
        <f>(B30-F30)/1000</f>
        <v>-16954.503720000008</v>
      </c>
      <c r="R22" s="143"/>
      <c r="S22" s="139">
        <f t="shared" si="1"/>
        <v>-16954.503720000008</v>
      </c>
      <c r="T22" s="139">
        <f t="shared" si="1"/>
        <v>-16954.503720000008</v>
      </c>
      <c r="U22" s="110">
        <v>20</v>
      </c>
      <c r="W22" s="139"/>
    </row>
    <row r="23" spans="1:24" ht="14.4" x14ac:dyDescent="0.3">
      <c r="A23" s="618" t="s">
        <v>530</v>
      </c>
      <c r="B23" s="431">
        <v>65063840.18</v>
      </c>
      <c r="C23" s="433">
        <v>54315546.210000001</v>
      </c>
      <c r="D23" s="433" t="s">
        <v>45</v>
      </c>
      <c r="E23" s="1132">
        <v>54315546.210000001</v>
      </c>
      <c r="F23" s="433" t="s">
        <v>45</v>
      </c>
      <c r="G23" s="433">
        <v>54315546.210000001</v>
      </c>
      <c r="H23" s="433" t="s">
        <v>45</v>
      </c>
      <c r="I23" s="513" t="s">
        <v>45</v>
      </c>
      <c r="L23" s="486" t="s">
        <v>372</v>
      </c>
      <c r="M23" s="487">
        <f>SUM(M19:M22)-M24</f>
        <v>-9391.1867000000148</v>
      </c>
      <c r="N23" s="487">
        <f t="shared" ref="N23:T23" si="2">SUM(N19:N22)-N24</f>
        <v>0</v>
      </c>
      <c r="O23" s="487"/>
      <c r="P23" s="487">
        <f t="shared" si="2"/>
        <v>-9020.7221299999965</v>
      </c>
      <c r="Q23" s="487">
        <f t="shared" si="2"/>
        <v>-38961.28394999999</v>
      </c>
      <c r="R23" s="487"/>
      <c r="S23" s="487">
        <f t="shared" si="2"/>
        <v>-38961.28394999999</v>
      </c>
      <c r="T23" s="487">
        <f t="shared" si="2"/>
        <v>-38961.28394999999</v>
      </c>
      <c r="U23" s="110">
        <v>21</v>
      </c>
      <c r="W23" s="139"/>
      <c r="X23" s="142"/>
    </row>
    <row r="24" spans="1:24" x14ac:dyDescent="0.3">
      <c r="A24" s="617" t="s">
        <v>326</v>
      </c>
      <c r="B24" s="429">
        <v>105418385.08</v>
      </c>
      <c r="C24" s="430">
        <v>96133657.109999999</v>
      </c>
      <c r="D24" s="430" t="s">
        <v>45</v>
      </c>
      <c r="E24" s="1133">
        <v>96216509.609999999</v>
      </c>
      <c r="F24" s="430" t="s">
        <v>45</v>
      </c>
      <c r="G24" s="430">
        <v>96216509.609999999</v>
      </c>
      <c r="H24" s="430" t="s">
        <v>45</v>
      </c>
      <c r="I24" s="665" t="s">
        <v>45</v>
      </c>
      <c r="L24" s="409" t="s">
        <v>362</v>
      </c>
      <c r="M24" s="139">
        <f>(C27-E27)/1000</f>
        <v>0</v>
      </c>
      <c r="N24" s="139">
        <f>(D27-F27)/1000</f>
        <v>0</v>
      </c>
      <c r="O24" s="139"/>
      <c r="P24" s="143">
        <f>(B27-E27)/1000</f>
        <v>0</v>
      </c>
      <c r="Q24" s="143">
        <f>(B27-F27)/1000</f>
        <v>-12551.32165</v>
      </c>
      <c r="R24" s="143"/>
      <c r="S24" s="139">
        <f>($B27-H27)/1000</f>
        <v>-12551.32165</v>
      </c>
      <c r="T24" s="139">
        <f>($B27-I27)/1000</f>
        <v>-12551.32165</v>
      </c>
      <c r="U24" s="110">
        <v>22</v>
      </c>
      <c r="V24" s="142"/>
      <c r="W24" s="139"/>
    </row>
    <row r="25" spans="1:24" x14ac:dyDescent="0.3">
      <c r="A25" s="623" t="s">
        <v>91</v>
      </c>
      <c r="B25" s="624">
        <v>-90000000</v>
      </c>
      <c r="C25" s="626">
        <v>-120000000</v>
      </c>
      <c r="D25" s="626" t="s">
        <v>45</v>
      </c>
      <c r="E25" s="1132">
        <v>-120000000</v>
      </c>
      <c r="F25" s="626" t="s">
        <v>45</v>
      </c>
      <c r="G25" s="626">
        <v>-120000000</v>
      </c>
      <c r="H25" s="626" t="s">
        <v>45</v>
      </c>
      <c r="I25" s="666" t="s">
        <v>45</v>
      </c>
      <c r="L25" s="409" t="s">
        <v>331</v>
      </c>
      <c r="M25" s="139">
        <f>(C34-E34)/1000</f>
        <v>0</v>
      </c>
      <c r="N25" s="139">
        <f>(D34-F34)/1000</f>
        <v>0</v>
      </c>
      <c r="O25" s="139"/>
      <c r="P25" s="143">
        <f>(B34-E34)/1000</f>
        <v>-130.19999999999999</v>
      </c>
      <c r="Q25" s="143">
        <f>(B34-F34)/1000</f>
        <v>-315.57705000000004</v>
      </c>
      <c r="R25" s="143"/>
      <c r="S25" s="139">
        <f>($B34-H34)/1000</f>
        <v>-315.57705000000004</v>
      </c>
      <c r="T25" s="139">
        <f>($B34-I34)/1000</f>
        <v>-315.57705000000004</v>
      </c>
      <c r="U25" s="110">
        <v>23</v>
      </c>
      <c r="W25" s="139"/>
    </row>
    <row r="26" spans="1:24" x14ac:dyDescent="0.3">
      <c r="A26" s="623" t="s">
        <v>327</v>
      </c>
      <c r="B26" s="624">
        <v>-30373409.620000001</v>
      </c>
      <c r="C26" s="626">
        <v>-34339433.079999998</v>
      </c>
      <c r="D26" s="626" t="s">
        <v>45</v>
      </c>
      <c r="E26" s="1132">
        <v>-30516049.479999997</v>
      </c>
      <c r="F26" s="626" t="s">
        <v>45</v>
      </c>
      <c r="G26" s="626">
        <v>-30516049.479999997</v>
      </c>
      <c r="H26" s="626" t="s">
        <v>45</v>
      </c>
      <c r="I26" s="666" t="s">
        <v>45</v>
      </c>
      <c r="L26" s="409" t="s">
        <v>363</v>
      </c>
      <c r="M26" s="139">
        <f>(C8-E8)/1000</f>
        <v>345.10250000000002</v>
      </c>
      <c r="N26" s="139">
        <f>(D8-F8)/1000</f>
        <v>0</v>
      </c>
      <c r="O26" s="139"/>
      <c r="P26" s="143">
        <f>(B8-E8)/1000</f>
        <v>243.92891000000014</v>
      </c>
      <c r="Q26" s="143">
        <f>(B8-F8)/1000</f>
        <v>6613.6498000000001</v>
      </c>
      <c r="R26" s="143"/>
      <c r="S26" s="139">
        <f>($B8-H8)/1000</f>
        <v>6613.6498000000001</v>
      </c>
      <c r="T26" s="139">
        <f>($B8-I8)/1000</f>
        <v>6613.6498000000001</v>
      </c>
      <c r="U26" s="110">
        <v>24</v>
      </c>
      <c r="W26" s="139"/>
    </row>
    <row r="27" spans="1:24" s="310" customFormat="1" x14ac:dyDescent="0.3">
      <c r="A27" s="627" t="s">
        <v>88</v>
      </c>
      <c r="B27" s="628">
        <v>-12551321.65</v>
      </c>
      <c r="C27" s="667">
        <v>-12551321.65</v>
      </c>
      <c r="D27" s="667" t="s">
        <v>45</v>
      </c>
      <c r="E27" s="1135">
        <v>-12551321.65</v>
      </c>
      <c r="F27" s="667" t="s">
        <v>45</v>
      </c>
      <c r="G27" s="667">
        <v>-12551321.65</v>
      </c>
      <c r="H27" s="667" t="s">
        <v>45</v>
      </c>
      <c r="I27" s="876" t="s">
        <v>45</v>
      </c>
      <c r="J27" s="503"/>
      <c r="K27" s="503"/>
      <c r="L27" s="409" t="s">
        <v>364</v>
      </c>
      <c r="M27" s="139">
        <f>(C7-E7)/1000</f>
        <v>55417.807120000005</v>
      </c>
      <c r="N27" s="139">
        <f>(D7-F7)/1000</f>
        <v>0</v>
      </c>
      <c r="O27" s="139"/>
      <c r="P27" s="143">
        <f>(B7-E7)/1000</f>
        <v>45471.540049999894</v>
      </c>
      <c r="Q27" s="143">
        <f>(B7-F7)/1000</f>
        <v>31102.732469999934</v>
      </c>
      <c r="R27" s="143"/>
      <c r="S27" s="139">
        <f>($B7-H7)/1000</f>
        <v>31102.732469999934</v>
      </c>
      <c r="T27" s="139">
        <f>($B7-I7)/1000</f>
        <v>31102.732469999934</v>
      </c>
      <c r="U27" s="110">
        <v>25</v>
      </c>
      <c r="V27" s="110"/>
      <c r="W27" s="139"/>
      <c r="X27" s="110"/>
    </row>
    <row r="28" spans="1:24" x14ac:dyDescent="0.3">
      <c r="A28" s="623" t="s">
        <v>328</v>
      </c>
      <c r="B28" s="624">
        <v>-2981541.4999999786</v>
      </c>
      <c r="C28" s="626">
        <v>-6188776.4100000178</v>
      </c>
      <c r="D28" s="626" t="s">
        <v>45</v>
      </c>
      <c r="E28" s="1132">
        <v>-6754375.1100000096</v>
      </c>
      <c r="F28" s="626" t="s">
        <v>45</v>
      </c>
      <c r="G28" s="626">
        <v>-6754375.1100000096</v>
      </c>
      <c r="H28" s="626" t="s">
        <v>45</v>
      </c>
      <c r="I28" s="666" t="s">
        <v>45</v>
      </c>
      <c r="L28" s="115"/>
      <c r="M28" s="1205"/>
      <c r="N28" s="1205"/>
      <c r="O28" s="1205"/>
      <c r="P28" s="1205"/>
      <c r="Q28" s="1205"/>
      <c r="R28" s="1205"/>
      <c r="S28" s="1205"/>
      <c r="T28" s="1205"/>
      <c r="U28" s="110">
        <v>26</v>
      </c>
    </row>
    <row r="29" spans="1:24" x14ac:dyDescent="0.3">
      <c r="A29" s="623" t="s">
        <v>329</v>
      </c>
      <c r="B29" s="624">
        <v>-1203150.7599999991</v>
      </c>
      <c r="C29" s="626">
        <v>-1518705.5700000005</v>
      </c>
      <c r="D29" s="626" t="s">
        <v>45</v>
      </c>
      <c r="E29" s="1132">
        <v>-1127937.5400000005</v>
      </c>
      <c r="F29" s="626" t="s">
        <v>45</v>
      </c>
      <c r="G29" s="626">
        <v>-1127937.5400000005</v>
      </c>
      <c r="H29" s="626" t="s">
        <v>45</v>
      </c>
      <c r="I29" s="666" t="s">
        <v>45</v>
      </c>
      <c r="L29" s="115" t="s">
        <v>366</v>
      </c>
      <c r="M29" s="1205"/>
      <c r="N29" s="1205"/>
      <c r="O29" s="1205"/>
      <c r="P29" s="1205"/>
      <c r="Q29" s="1205"/>
      <c r="R29" s="1205"/>
      <c r="S29" s="1205"/>
      <c r="T29" s="1205"/>
      <c r="U29" s="110">
        <v>27</v>
      </c>
      <c r="X29" s="310"/>
    </row>
    <row r="30" spans="1:24" x14ac:dyDescent="0.3">
      <c r="A30" s="623" t="s">
        <v>330</v>
      </c>
      <c r="B30" s="624">
        <v>-16954503.720000006</v>
      </c>
      <c r="C30" s="626">
        <v>-9836155.1099999864</v>
      </c>
      <c r="D30" s="626" t="s">
        <v>45</v>
      </c>
      <c r="E30" s="1132">
        <v>-4093521.3399999817</v>
      </c>
      <c r="F30" s="626" t="s">
        <v>45</v>
      </c>
      <c r="G30" s="626">
        <v>-4093521.3399999817</v>
      </c>
      <c r="H30" s="626" t="s">
        <v>45</v>
      </c>
      <c r="I30" s="666" t="s">
        <v>45</v>
      </c>
      <c r="L30" s="108" t="s">
        <v>367</v>
      </c>
      <c r="M30" s="343"/>
      <c r="N30" s="343"/>
      <c r="O30" s="343"/>
      <c r="P30" s="343"/>
      <c r="Q30" s="343"/>
      <c r="R30" s="343"/>
      <c r="S30" s="343"/>
      <c r="T30" s="343"/>
      <c r="U30" s="110">
        <v>28</v>
      </c>
      <c r="V30" s="110" t="s">
        <v>369</v>
      </c>
      <c r="W30" s="310"/>
    </row>
    <row r="31" spans="1:24" x14ac:dyDescent="0.3">
      <c r="A31" s="623" t="s">
        <v>92</v>
      </c>
      <c r="B31" s="624">
        <v>0</v>
      </c>
      <c r="C31" s="626">
        <v>0</v>
      </c>
      <c r="D31" s="626" t="s">
        <v>45</v>
      </c>
      <c r="E31" s="1132">
        <v>0</v>
      </c>
      <c r="F31" s="626" t="s">
        <v>45</v>
      </c>
      <c r="G31" s="626">
        <v>0</v>
      </c>
      <c r="H31" s="626" t="s">
        <v>45</v>
      </c>
      <c r="I31" s="666" t="s">
        <v>45</v>
      </c>
      <c r="L31" s="108" t="s">
        <v>368</v>
      </c>
      <c r="M31" s="295"/>
      <c r="N31" s="295"/>
      <c r="O31" s="295"/>
      <c r="P31" s="295"/>
      <c r="Q31" s="295"/>
      <c r="R31" s="295"/>
      <c r="S31" s="295"/>
      <c r="T31" s="295"/>
      <c r="U31" s="110">
        <v>29</v>
      </c>
      <c r="V31" s="110" t="s">
        <v>370</v>
      </c>
    </row>
    <row r="32" spans="1:24" x14ac:dyDescent="0.3">
      <c r="A32" s="623" t="s">
        <v>91</v>
      </c>
      <c r="B32" s="624">
        <v>-90000000</v>
      </c>
      <c r="C32" s="626">
        <v>-120000000</v>
      </c>
      <c r="D32" s="626" t="s">
        <v>45</v>
      </c>
      <c r="E32" s="1132">
        <v>-120000000</v>
      </c>
      <c r="F32" s="626" t="s">
        <v>45</v>
      </c>
      <c r="G32" s="626">
        <v>-120000000</v>
      </c>
      <c r="H32" s="626" t="s">
        <v>45</v>
      </c>
      <c r="I32" s="666" t="s">
        <v>45</v>
      </c>
      <c r="L32" s="108"/>
      <c r="M32" s="1205"/>
      <c r="N32" s="1205"/>
      <c r="O32" s="1205"/>
      <c r="P32" s="1205"/>
      <c r="Q32" s="1205"/>
      <c r="R32" s="1205"/>
      <c r="S32" s="1205"/>
      <c r="T32" s="1205"/>
      <c r="U32" s="110">
        <v>30</v>
      </c>
    </row>
    <row r="33" spans="1:23" x14ac:dyDescent="0.3">
      <c r="A33" s="623" t="s">
        <v>93</v>
      </c>
      <c r="B33" s="624">
        <v>0</v>
      </c>
      <c r="C33" s="626">
        <v>0</v>
      </c>
      <c r="D33" s="626" t="s">
        <v>45</v>
      </c>
      <c r="E33" s="1132">
        <v>0</v>
      </c>
      <c r="F33" s="626" t="s">
        <v>45</v>
      </c>
      <c r="G33" s="626">
        <v>0</v>
      </c>
      <c r="H33" s="626" t="s">
        <v>45</v>
      </c>
      <c r="I33" s="666" t="s">
        <v>45</v>
      </c>
      <c r="L33" s="497" t="s">
        <v>371</v>
      </c>
      <c r="M33" s="496">
        <f>SUM(M23:M32)+SUM(M6:M15)</f>
        <v>41861.959359999993</v>
      </c>
      <c r="N33" s="496">
        <f>SUM(N23:N32)+SUM(N6:N15)</f>
        <v>0</v>
      </c>
      <c r="O33" s="496"/>
      <c r="P33" s="496">
        <f>SUM(P23:P32)+SUM(P6:P15)</f>
        <v>38575.539689999918</v>
      </c>
      <c r="Q33" s="496">
        <f>SUM(Q23:Q32)+SUM(Q6:Q15)</f>
        <v>-508792.25303999998</v>
      </c>
      <c r="R33" s="496"/>
      <c r="S33" s="496">
        <f>SUM(S23:S32)+SUM(S6:S15)</f>
        <v>-508792.25303999998</v>
      </c>
      <c r="T33" s="496">
        <f>SUM(T23:T32)+SUM(T6:T15)</f>
        <v>-513707.32834999997</v>
      </c>
      <c r="U33" s="110">
        <v>31</v>
      </c>
    </row>
    <row r="34" spans="1:23" x14ac:dyDescent="0.3">
      <c r="A34" s="623" t="s">
        <v>331</v>
      </c>
      <c r="B34" s="624">
        <v>-315577.05000000005</v>
      </c>
      <c r="C34" s="626">
        <v>-185377.05000000005</v>
      </c>
      <c r="D34" s="626" t="s">
        <v>45</v>
      </c>
      <c r="E34" s="1132">
        <v>-185377.05000000005</v>
      </c>
      <c r="F34" s="626" t="s">
        <v>45</v>
      </c>
      <c r="G34" s="626">
        <v>-185377.05000000005</v>
      </c>
      <c r="H34" s="626" t="s">
        <v>45</v>
      </c>
      <c r="I34" s="666" t="s">
        <v>45</v>
      </c>
      <c r="M34" s="1205"/>
      <c r="N34" s="1205"/>
      <c r="O34" s="1205"/>
      <c r="P34" s="1205"/>
      <c r="Q34" s="1205"/>
      <c r="R34" s="1205"/>
      <c r="S34" s="1205"/>
      <c r="T34" s="1205"/>
      <c r="U34" s="110">
        <v>32</v>
      </c>
    </row>
    <row r="35" spans="1:23" ht="14.4" x14ac:dyDescent="0.3">
      <c r="A35" s="623" t="s">
        <v>339</v>
      </c>
      <c r="B35" s="624">
        <v>-2.328304216092647E-12</v>
      </c>
      <c r="C35" s="626">
        <v>-2.328304216092647E-12</v>
      </c>
      <c r="D35" s="626" t="s">
        <v>45</v>
      </c>
      <c r="E35" s="1132">
        <v>-2.328304216092647E-12</v>
      </c>
      <c r="F35" s="626" t="s">
        <v>45</v>
      </c>
      <c r="G35" s="626">
        <v>-2.328304216092647E-12</v>
      </c>
      <c r="H35" s="626" t="s">
        <v>45</v>
      </c>
      <c r="I35" s="666" t="s">
        <v>45</v>
      </c>
      <c r="L35" s="493" t="s">
        <v>23</v>
      </c>
      <c r="M35" s="139"/>
      <c r="N35" s="139"/>
      <c r="O35" s="139"/>
      <c r="P35" s="139"/>
      <c r="Q35" s="139"/>
      <c r="R35" s="139"/>
      <c r="S35" s="139"/>
      <c r="T35" s="139"/>
      <c r="U35" s="110">
        <v>33</v>
      </c>
    </row>
    <row r="36" spans="1:23" x14ac:dyDescent="0.3">
      <c r="A36" s="629" t="s">
        <v>332</v>
      </c>
      <c r="B36" s="438">
        <v>-51828182.65000008</v>
      </c>
      <c r="C36" s="439">
        <v>-52068447.219999999</v>
      </c>
      <c r="D36" s="439" t="s">
        <v>45</v>
      </c>
      <c r="E36" s="1133">
        <v>113487.46999997832</v>
      </c>
      <c r="F36" s="439" t="s">
        <v>45</v>
      </c>
      <c r="G36" s="439">
        <v>113487.46999997832</v>
      </c>
      <c r="H36" s="439" t="s">
        <v>45</v>
      </c>
      <c r="I36" s="877" t="s">
        <v>45</v>
      </c>
      <c r="L36" s="406" t="s">
        <v>373</v>
      </c>
      <c r="M36" s="1096">
        <f>((E22-C22)*-1/1000)-M15</f>
        <v>-82.852500000000006</v>
      </c>
      <c r="N36" s="139">
        <f>(F22-D22)*-1/1000-N15</f>
        <v>0</v>
      </c>
      <c r="O36" s="139"/>
      <c r="P36" s="143">
        <f>((E22-B22)*-1/1000)-P15</f>
        <v>-213.11691999999994</v>
      </c>
      <c r="Q36" s="139">
        <f>(F22-B22)*-1/1000-Q15</f>
        <v>40354.544900000001</v>
      </c>
      <c r="R36" s="139"/>
      <c r="S36" s="139">
        <f>(H22-B22)*-1/1000-S15</f>
        <v>40354.544900000001</v>
      </c>
      <c r="T36" s="139">
        <f>(I22-B22)*-1/1000-T15</f>
        <v>40354.544900000001</v>
      </c>
      <c r="U36" s="110">
        <v>34</v>
      </c>
      <c r="W36" s="139"/>
    </row>
    <row r="37" spans="1:23" x14ac:dyDescent="0.3">
      <c r="A37" s="623" t="s">
        <v>187</v>
      </c>
      <c r="B37" s="624">
        <v>-34620338.669999987</v>
      </c>
      <c r="C37" s="626">
        <v>-30063728.109999977</v>
      </c>
      <c r="D37" s="626" t="s">
        <v>45</v>
      </c>
      <c r="E37" s="1132">
        <v>-30512940.190000001</v>
      </c>
      <c r="F37" s="626" t="s">
        <v>45</v>
      </c>
      <c r="G37" s="626">
        <v>-30512940.190000001</v>
      </c>
      <c r="H37" s="697" t="s">
        <v>45</v>
      </c>
      <c r="I37" s="666" t="s">
        <v>45</v>
      </c>
      <c r="L37" s="400" t="s">
        <v>375</v>
      </c>
      <c r="M37" s="139">
        <f>(C16-E16)/1000</f>
        <v>-366.70281999996303</v>
      </c>
      <c r="N37" s="139">
        <f>(D16-F16)/1000</f>
        <v>0</v>
      </c>
      <c r="O37" s="139"/>
      <c r="P37" s="143">
        <f>(B16-E16)/1000</f>
        <v>-781.37248000013824</v>
      </c>
      <c r="Q37" s="143">
        <f>(B16-F16)/1000</f>
        <v>11623.311919999838</v>
      </c>
      <c r="R37" s="143"/>
      <c r="S37" s="975">
        <f>($B16-H16)/1000</f>
        <v>11623.311919999838</v>
      </c>
      <c r="T37" s="139">
        <f>($B16-I16)/1000</f>
        <v>11623.311919999838</v>
      </c>
      <c r="U37" s="110">
        <v>35</v>
      </c>
      <c r="W37" s="139"/>
    </row>
    <row r="38" spans="1:23" x14ac:dyDescent="0.3">
      <c r="A38" s="731" t="s">
        <v>333</v>
      </c>
      <c r="B38" s="776">
        <v>-90251320.049999982</v>
      </c>
      <c r="C38" s="732">
        <v>-92939886.129999995</v>
      </c>
      <c r="D38" s="732" t="s">
        <v>45</v>
      </c>
      <c r="E38" s="1136">
        <v>-93541782.479999974</v>
      </c>
      <c r="F38" s="732" t="s">
        <v>45</v>
      </c>
      <c r="G38" s="732">
        <v>-93541782.479999974</v>
      </c>
      <c r="H38" s="732" t="s">
        <v>45</v>
      </c>
      <c r="I38" s="878" t="s">
        <v>45</v>
      </c>
      <c r="L38" s="406" t="s">
        <v>374</v>
      </c>
      <c r="M38" s="139">
        <f>(C10-E10)/1000</f>
        <v>0</v>
      </c>
      <c r="N38" s="139">
        <f>(D10-F10)/1000</f>
        <v>0</v>
      </c>
      <c r="O38" s="139"/>
      <c r="P38" s="143">
        <f>(B10-E10)/1000</f>
        <v>-4114.7378999999164</v>
      </c>
      <c r="Q38" s="143">
        <f>(B10-F10)/1000</f>
        <v>463232.32211000007</v>
      </c>
      <c r="R38" s="143"/>
      <c r="S38" s="139">
        <f>($B10-H10)/1000</f>
        <v>463232.32211000007</v>
      </c>
      <c r="T38" s="139">
        <f>($B10-I10)/1000</f>
        <v>463232.32211000007</v>
      </c>
      <c r="U38" s="110">
        <v>36</v>
      </c>
      <c r="W38" s="139"/>
    </row>
    <row r="39" spans="1:23" ht="14.4" x14ac:dyDescent="0.3">
      <c r="A39" s="629" t="s">
        <v>334</v>
      </c>
      <c r="B39" s="438">
        <v>-214871658.72000006</v>
      </c>
      <c r="C39" s="439">
        <v>-243003614.24000001</v>
      </c>
      <c r="D39" s="439" t="s">
        <v>45</v>
      </c>
      <c r="E39" s="1133">
        <v>-244054722.67000002</v>
      </c>
      <c r="F39" s="439" t="s">
        <v>45</v>
      </c>
      <c r="G39" s="439">
        <v>-244054722.67000002</v>
      </c>
      <c r="H39" s="439" t="s">
        <v>45</v>
      </c>
      <c r="I39" s="877" t="s">
        <v>45</v>
      </c>
      <c r="L39" s="495" t="s">
        <v>24</v>
      </c>
      <c r="M39" s="496">
        <f t="shared" ref="M39:T39" si="3">SUM(M36:M38)</f>
        <v>-449.55531999996305</v>
      </c>
      <c r="N39" s="496">
        <f t="shared" si="3"/>
        <v>0</v>
      </c>
      <c r="O39" s="496"/>
      <c r="P39" s="496">
        <f t="shared" si="3"/>
        <v>-5109.227300000055</v>
      </c>
      <c r="Q39" s="496">
        <f t="shared" si="3"/>
        <v>515210.17892999994</v>
      </c>
      <c r="R39" s="496"/>
      <c r="S39" s="496">
        <f t="shared" si="3"/>
        <v>515210.17892999994</v>
      </c>
      <c r="T39" s="496">
        <f t="shared" si="3"/>
        <v>515210.17892999994</v>
      </c>
      <c r="U39" s="110">
        <v>37</v>
      </c>
      <c r="W39" s="139"/>
    </row>
    <row r="40" spans="1:23" ht="14.4" x14ac:dyDescent="0.3">
      <c r="A40" s="620"/>
      <c r="B40" s="621"/>
      <c r="C40" s="630"/>
      <c r="D40" s="621"/>
      <c r="E40" s="668"/>
      <c r="F40" s="621"/>
      <c r="G40" s="630"/>
      <c r="H40" s="621"/>
      <c r="I40" s="631"/>
      <c r="L40" s="493"/>
      <c r="M40" s="1205"/>
      <c r="N40" s="1205"/>
      <c r="O40" s="1205"/>
      <c r="P40" s="1205"/>
      <c r="Q40" s="1205"/>
      <c r="R40" s="1205"/>
      <c r="S40" s="1205"/>
      <c r="T40" s="1205"/>
      <c r="U40" s="110">
        <v>38</v>
      </c>
      <c r="W40" s="139"/>
    </row>
    <row r="41" spans="1:23" ht="14.4" x14ac:dyDescent="0.3">
      <c r="A41" s="675" t="s">
        <v>303</v>
      </c>
      <c r="B41" s="676">
        <v>-266699841.36999995</v>
      </c>
      <c r="C41" s="677">
        <v>-295072061.45999998</v>
      </c>
      <c r="D41" s="677" t="s">
        <v>45</v>
      </c>
      <c r="E41" s="1133">
        <v>-243941235.20000005</v>
      </c>
      <c r="F41" s="677" t="s">
        <v>45</v>
      </c>
      <c r="G41" s="677">
        <v>-243941235.20000005</v>
      </c>
      <c r="H41" s="677" t="s">
        <v>45</v>
      </c>
      <c r="I41" s="879" t="s">
        <v>45</v>
      </c>
      <c r="L41" s="493" t="s">
        <v>25</v>
      </c>
      <c r="M41" s="1205"/>
      <c r="N41" s="1205"/>
      <c r="O41" s="1205"/>
      <c r="P41" s="1205"/>
      <c r="Q41" s="1205"/>
      <c r="R41" s="1205"/>
      <c r="S41" s="1205"/>
      <c r="T41" s="1205"/>
      <c r="U41" s="110">
        <v>39</v>
      </c>
      <c r="W41" s="139"/>
    </row>
    <row r="42" spans="1:23" x14ac:dyDescent="0.3">
      <c r="A42" s="674" t="s">
        <v>340</v>
      </c>
      <c r="B42" s="678">
        <v>-14486698.189999973</v>
      </c>
      <c r="C42" s="678">
        <v>-14944410.140000001</v>
      </c>
      <c r="D42" s="678" t="s">
        <v>45</v>
      </c>
      <c r="E42" s="1137">
        <v>-9383538.1500000004</v>
      </c>
      <c r="F42" s="678" t="s">
        <v>45</v>
      </c>
      <c r="G42" s="678">
        <v>-9383538.1500000004</v>
      </c>
      <c r="H42" s="678" t="s">
        <v>45</v>
      </c>
      <c r="I42" s="880" t="s">
        <v>45</v>
      </c>
      <c r="J42" s="143"/>
      <c r="K42" s="143"/>
      <c r="L42" s="406" t="s">
        <v>376</v>
      </c>
      <c r="M42" s="139">
        <f t="shared" ref="M42:N44" si="4">(C31-E31)/1000</f>
        <v>0</v>
      </c>
      <c r="N42" s="139">
        <f t="shared" si="4"/>
        <v>0</v>
      </c>
      <c r="O42" s="139"/>
      <c r="P42" s="143">
        <f>(B31-E31)/1000</f>
        <v>0</v>
      </c>
      <c r="Q42" s="143">
        <f>(B31-F31)/1000</f>
        <v>0</v>
      </c>
      <c r="R42" s="143"/>
      <c r="S42" s="139">
        <f t="shared" ref="S42:T44" si="5">($B31-H31)/1000</f>
        <v>0</v>
      </c>
      <c r="T42" s="139">
        <f t="shared" si="5"/>
        <v>0</v>
      </c>
      <c r="U42" s="110">
        <v>40</v>
      </c>
      <c r="W42" s="139"/>
    </row>
    <row r="43" spans="1:23" x14ac:dyDescent="0.3">
      <c r="A43" s="670" t="s">
        <v>341</v>
      </c>
      <c r="B43" s="672">
        <v>3.7252902984619141E-9</v>
      </c>
      <c r="C43" s="672">
        <v>4.6566128730773926E-10</v>
      </c>
      <c r="D43" s="672" t="s">
        <v>45</v>
      </c>
      <c r="E43" s="679">
        <v>4.6566128730773926E-10</v>
      </c>
      <c r="F43" s="672" t="s">
        <v>45</v>
      </c>
      <c r="G43" s="672">
        <v>4.6566128730773926E-10</v>
      </c>
      <c r="H43" s="672" t="s">
        <v>45</v>
      </c>
      <c r="I43" s="673" t="s">
        <v>45</v>
      </c>
      <c r="J43" s="143"/>
      <c r="K43" s="143"/>
      <c r="L43" s="406" t="s">
        <v>377</v>
      </c>
      <c r="M43" s="139">
        <f t="shared" si="4"/>
        <v>0</v>
      </c>
      <c r="N43" s="139">
        <f t="shared" si="4"/>
        <v>0</v>
      </c>
      <c r="O43" s="139"/>
      <c r="P43" s="143">
        <f>(B32-E32)/1000</f>
        <v>30000</v>
      </c>
      <c r="Q43" s="143">
        <f>(B32-F32)/1000</f>
        <v>-90000</v>
      </c>
      <c r="R43" s="143"/>
      <c r="S43" s="139">
        <f t="shared" si="5"/>
        <v>-90000</v>
      </c>
      <c r="T43" s="139">
        <f t="shared" si="5"/>
        <v>-90000</v>
      </c>
      <c r="U43" s="110">
        <v>41</v>
      </c>
      <c r="W43" s="139"/>
    </row>
    <row r="44" spans="1:23" x14ac:dyDescent="0.3">
      <c r="A44" s="670" t="s">
        <v>342</v>
      </c>
      <c r="B44" s="672">
        <v>-725598.73</v>
      </c>
      <c r="C44" s="672">
        <v>-652472.90999999992</v>
      </c>
      <c r="D44" s="672" t="s">
        <v>45</v>
      </c>
      <c r="E44" s="679">
        <v>-652472.90999999992</v>
      </c>
      <c r="F44" s="672" t="s">
        <v>45</v>
      </c>
      <c r="G44" s="672">
        <v>-652472.90999999992</v>
      </c>
      <c r="H44" s="672" t="s">
        <v>45</v>
      </c>
      <c r="I44" s="673" t="s">
        <v>45</v>
      </c>
      <c r="J44" s="143"/>
      <c r="K44" s="143"/>
      <c r="L44" s="406" t="s">
        <v>378</v>
      </c>
      <c r="M44" s="139">
        <f t="shared" si="4"/>
        <v>0</v>
      </c>
      <c r="N44" s="139">
        <f t="shared" si="4"/>
        <v>0</v>
      </c>
      <c r="O44" s="139"/>
      <c r="P44" s="143">
        <f>(B33-E33)/1000</f>
        <v>0</v>
      </c>
      <c r="Q44" s="143">
        <f>(B33-F33)/1000</f>
        <v>0</v>
      </c>
      <c r="R44" s="143"/>
      <c r="S44" s="139">
        <f t="shared" si="5"/>
        <v>0</v>
      </c>
      <c r="T44" s="139">
        <f t="shared" si="5"/>
        <v>0</v>
      </c>
      <c r="U44" s="110">
        <v>42</v>
      </c>
      <c r="W44" s="139"/>
    </row>
    <row r="45" spans="1:23" ht="16.5" customHeight="1" x14ac:dyDescent="0.3">
      <c r="A45" s="671" t="s">
        <v>343</v>
      </c>
      <c r="B45" s="672">
        <v>1.3411045607369942E-9</v>
      </c>
      <c r="C45" s="672">
        <v>-5.2154058849396279E-10</v>
      </c>
      <c r="D45" s="672" t="s">
        <v>45</v>
      </c>
      <c r="E45" s="679">
        <v>-5.2154058849396279E-10</v>
      </c>
      <c r="F45" s="672" t="s">
        <v>45</v>
      </c>
      <c r="G45" s="672">
        <v>-5.2154058849396279E-10</v>
      </c>
      <c r="H45" s="672" t="s">
        <v>45</v>
      </c>
      <c r="I45" s="673" t="s">
        <v>45</v>
      </c>
      <c r="J45" s="143"/>
      <c r="K45" s="143"/>
      <c r="L45" s="495" t="s">
        <v>379</v>
      </c>
      <c r="M45" s="496">
        <f t="shared" ref="M45:T45" si="6">SUM(M42:M44)</f>
        <v>0</v>
      </c>
      <c r="N45" s="496">
        <f t="shared" si="6"/>
        <v>0</v>
      </c>
      <c r="O45" s="496"/>
      <c r="P45" s="496">
        <f t="shared" si="6"/>
        <v>30000</v>
      </c>
      <c r="Q45" s="496">
        <f t="shared" si="6"/>
        <v>-90000</v>
      </c>
      <c r="R45" s="496"/>
      <c r="S45" s="496">
        <f t="shared" si="6"/>
        <v>-90000</v>
      </c>
      <c r="T45" s="496">
        <f t="shared" si="6"/>
        <v>-90000</v>
      </c>
      <c r="U45" s="110">
        <v>43</v>
      </c>
      <c r="V45" s="139"/>
      <c r="W45" s="139"/>
    </row>
    <row r="46" spans="1:23" ht="14.4" x14ac:dyDescent="0.3">
      <c r="A46" s="670" t="s">
        <v>344</v>
      </c>
      <c r="B46" s="672" t="s">
        <v>45</v>
      </c>
      <c r="C46" s="672" t="s">
        <v>45</v>
      </c>
      <c r="D46" s="672" t="s">
        <v>45</v>
      </c>
      <c r="E46" s="679" t="s">
        <v>45</v>
      </c>
      <c r="F46" s="672" t="s">
        <v>45</v>
      </c>
      <c r="G46" s="672" t="s">
        <v>45</v>
      </c>
      <c r="H46" s="672" t="s">
        <v>45</v>
      </c>
      <c r="I46" s="673" t="s">
        <v>45</v>
      </c>
      <c r="J46" s="143"/>
      <c r="K46" s="143"/>
      <c r="L46" s="493"/>
      <c r="M46" s="1205"/>
      <c r="N46" s="1205"/>
      <c r="O46" s="1205"/>
      <c r="P46" s="1205"/>
      <c r="Q46" s="1205"/>
      <c r="R46" s="1205"/>
      <c r="S46" s="1205"/>
      <c r="T46" s="1205"/>
      <c r="U46" s="110">
        <v>44</v>
      </c>
      <c r="W46" s="139"/>
    </row>
    <row r="47" spans="1:23" ht="14.4" x14ac:dyDescent="0.3">
      <c r="A47" s="670" t="s">
        <v>345</v>
      </c>
      <c r="B47" s="672">
        <v>0</v>
      </c>
      <c r="C47" s="672">
        <v>0</v>
      </c>
      <c r="D47" s="672" t="s">
        <v>45</v>
      </c>
      <c r="E47" s="679">
        <v>0</v>
      </c>
      <c r="F47" s="672" t="s">
        <v>45</v>
      </c>
      <c r="G47" s="672">
        <v>0</v>
      </c>
      <c r="H47" s="672" t="s">
        <v>45</v>
      </c>
      <c r="I47" s="673" t="s">
        <v>45</v>
      </c>
      <c r="J47" s="143"/>
      <c r="K47" s="143"/>
      <c r="L47" s="495" t="s">
        <v>380</v>
      </c>
      <c r="M47" s="498">
        <f>M33+M39+M45</f>
        <v>41412.40404000003</v>
      </c>
      <c r="N47" s="498">
        <f t="shared" ref="N47:T47" si="7">N33+N39+N45</f>
        <v>0</v>
      </c>
      <c r="O47" s="498"/>
      <c r="P47" s="498">
        <f>P33+P39+P45</f>
        <v>63466.312389999861</v>
      </c>
      <c r="Q47" s="498">
        <f t="shared" si="7"/>
        <v>-83582.074110000045</v>
      </c>
      <c r="R47" s="498"/>
      <c r="S47" s="498">
        <f t="shared" si="7"/>
        <v>-83582.074110000045</v>
      </c>
      <c r="T47" s="498">
        <f t="shared" si="7"/>
        <v>-88497.149420000031</v>
      </c>
      <c r="U47" s="110">
        <v>45</v>
      </c>
      <c r="W47" s="139"/>
    </row>
    <row r="48" spans="1:23" ht="14.4" thickBot="1" x14ac:dyDescent="0.35">
      <c r="A48" s="670" t="s">
        <v>346</v>
      </c>
      <c r="B48" s="672">
        <v>0</v>
      </c>
      <c r="C48" s="672">
        <v>0</v>
      </c>
      <c r="D48" s="672" t="s">
        <v>45</v>
      </c>
      <c r="E48" s="679">
        <v>0</v>
      </c>
      <c r="F48" s="672" t="s">
        <v>45</v>
      </c>
      <c r="G48" s="672">
        <v>0</v>
      </c>
      <c r="H48" s="672" t="s">
        <v>45</v>
      </c>
      <c r="I48" s="673" t="s">
        <v>45</v>
      </c>
      <c r="J48" s="143"/>
      <c r="K48" s="143"/>
      <c r="L48" s="727" t="s">
        <v>381</v>
      </c>
      <c r="M48" s="728">
        <f>(E5-C5)/1000</f>
        <v>-12647.587010000005</v>
      </c>
      <c r="N48" s="728">
        <f>(F5-D5)/1000</f>
        <v>0</v>
      </c>
      <c r="O48" s="728"/>
      <c r="P48" s="729">
        <f>(E5-B5)/1000</f>
        <v>20154.615310000001</v>
      </c>
      <c r="Q48" s="729">
        <f>(F5-B5)/1000</f>
        <v>-33004.93211999999</v>
      </c>
      <c r="R48" s="729"/>
      <c r="S48" s="728">
        <f>(H5-$B5)/1000</f>
        <v>-33004.93211999999</v>
      </c>
      <c r="T48" s="728">
        <f>(I5-$B5)/1000</f>
        <v>-33004.93211999999</v>
      </c>
      <c r="U48" s="110">
        <v>46</v>
      </c>
      <c r="W48" s="139"/>
    </row>
    <row r="49" spans="1:22" x14ac:dyDescent="0.3">
      <c r="A49" s="622" t="s">
        <v>347</v>
      </c>
      <c r="B49" s="678">
        <v>-281186539.56</v>
      </c>
      <c r="C49" s="678">
        <v>-310016471.60000002</v>
      </c>
      <c r="D49" s="678" t="s">
        <v>45</v>
      </c>
      <c r="E49" s="1137">
        <v>-253324773.35000008</v>
      </c>
      <c r="F49" s="678" t="s">
        <v>45</v>
      </c>
      <c r="G49" s="678">
        <v>-253324773.35000008</v>
      </c>
      <c r="H49" s="678" t="s">
        <v>45</v>
      </c>
      <c r="I49" s="880" t="s">
        <v>45</v>
      </c>
      <c r="M49" s="139">
        <f>M47-M48</f>
        <v>54059.991050000033</v>
      </c>
      <c r="P49" s="139">
        <f>P47-P48</f>
        <v>43311.69707999986</v>
      </c>
    </row>
    <row r="50" spans="1:22" x14ac:dyDescent="0.3">
      <c r="A50" s="632"/>
      <c r="B50" s="321"/>
      <c r="C50" s="445"/>
      <c r="D50" s="445"/>
      <c r="E50" s="669"/>
      <c r="F50" s="491"/>
      <c r="G50" s="491"/>
      <c r="H50" s="491"/>
      <c r="I50" s="633"/>
      <c r="M50" s="139">
        <f>+'balance sheet'!B50</f>
        <v>-54059.991049999924</v>
      </c>
      <c r="P50" s="139">
        <f>+'balance sheet'!E50</f>
        <v>-54059.991049999924</v>
      </c>
    </row>
    <row r="51" spans="1:22" x14ac:dyDescent="0.3">
      <c r="A51" s="723" t="s">
        <v>389</v>
      </c>
      <c r="B51" s="680">
        <v>0</v>
      </c>
      <c r="C51" s="681">
        <v>0</v>
      </c>
      <c r="D51" s="681">
        <v>0</v>
      </c>
      <c r="E51" s="1138">
        <v>0</v>
      </c>
      <c r="F51" s="881">
        <v>0</v>
      </c>
      <c r="G51" s="881">
        <v>0</v>
      </c>
      <c r="H51" s="881">
        <v>0</v>
      </c>
      <c r="I51" s="1139">
        <v>0</v>
      </c>
    </row>
    <row r="52" spans="1:22" x14ac:dyDescent="0.3">
      <c r="A52" s="724" t="s">
        <v>400</v>
      </c>
      <c r="B52" s="681">
        <v>0</v>
      </c>
      <c r="C52" s="681">
        <v>0</v>
      </c>
      <c r="D52" s="681">
        <v>0</v>
      </c>
      <c r="E52" s="1140">
        <v>0</v>
      </c>
      <c r="F52" s="681">
        <v>0</v>
      </c>
      <c r="G52" s="681">
        <v>0</v>
      </c>
      <c r="H52" s="681">
        <v>0</v>
      </c>
      <c r="I52" s="1141">
        <v>0</v>
      </c>
      <c r="M52" s="139"/>
      <c r="N52" s="139"/>
      <c r="O52" s="139"/>
      <c r="P52" s="139"/>
      <c r="Q52" s="139"/>
      <c r="R52" s="139"/>
      <c r="S52" s="139"/>
      <c r="T52" s="139"/>
    </row>
    <row r="53" spans="1:22" x14ac:dyDescent="0.3">
      <c r="A53" s="720" t="s">
        <v>131</v>
      </c>
      <c r="B53" s="721">
        <v>-1934781.9100000001</v>
      </c>
      <c r="C53" s="721">
        <v>-130264.42</v>
      </c>
      <c r="D53" s="721" t="s">
        <v>45</v>
      </c>
      <c r="E53" s="679">
        <v>-130264.42</v>
      </c>
      <c r="F53" s="721" t="s">
        <v>45</v>
      </c>
      <c r="G53" s="721">
        <v>-130264.42</v>
      </c>
      <c r="H53" s="721" t="s">
        <v>45</v>
      </c>
      <c r="I53" s="722" t="s">
        <v>45</v>
      </c>
      <c r="J53" s="504"/>
      <c r="K53" s="504"/>
      <c r="M53" s="143"/>
      <c r="N53" s="143"/>
      <c r="O53" s="143"/>
      <c r="P53" s="143"/>
      <c r="Q53" s="143"/>
      <c r="R53" s="143"/>
      <c r="S53" s="143"/>
      <c r="T53" s="143"/>
    </row>
    <row r="54" spans="1:22" ht="14.4" thickBot="1" x14ac:dyDescent="0.35">
      <c r="A54" s="725" t="s">
        <v>253</v>
      </c>
      <c r="B54" s="726">
        <v>-285915.09000000008</v>
      </c>
      <c r="C54" s="726">
        <v>-1333301.58</v>
      </c>
      <c r="D54" s="726" t="s">
        <v>45</v>
      </c>
      <c r="E54" s="980">
        <v>-1333301.58</v>
      </c>
      <c r="F54" s="726" t="s">
        <v>45</v>
      </c>
      <c r="G54" s="726">
        <v>-1333301.58</v>
      </c>
      <c r="H54" s="726" t="s">
        <v>45</v>
      </c>
      <c r="I54" s="1006" t="s">
        <v>45</v>
      </c>
      <c r="M54" s="139"/>
      <c r="N54" s="139"/>
      <c r="O54" s="139"/>
      <c r="P54" s="139"/>
      <c r="Q54" s="139"/>
      <c r="R54" s="139"/>
      <c r="S54" s="139"/>
      <c r="T54" s="139"/>
      <c r="V54" s="139"/>
    </row>
    <row r="55" spans="1:22" x14ac:dyDescent="0.3">
      <c r="A55" s="624"/>
      <c r="B55" s="445"/>
      <c r="C55" s="445"/>
      <c r="D55" s="404"/>
      <c r="E55" s="488"/>
      <c r="F55" s="404"/>
      <c r="G55" s="445"/>
      <c r="H55" s="404"/>
      <c r="I55" s="404"/>
    </row>
    <row r="56" spans="1:22" ht="14.4" x14ac:dyDescent="0.3">
      <c r="B56" s="139"/>
      <c r="C56" s="139"/>
      <c r="L56" s="493"/>
    </row>
    <row r="57" spans="1:22" x14ac:dyDescent="0.3">
      <c r="L57" s="406"/>
      <c r="M57" s="139"/>
      <c r="N57" s="139"/>
      <c r="O57" s="139"/>
      <c r="P57" s="143"/>
      <c r="Q57" s="143"/>
      <c r="R57" s="143"/>
      <c r="T57" s="139"/>
    </row>
    <row r="58" spans="1:22" x14ac:dyDescent="0.3">
      <c r="A58"/>
      <c r="B58"/>
      <c r="C58"/>
      <c r="D58"/>
      <c r="E58"/>
      <c r="F58"/>
      <c r="G58"/>
      <c r="H58"/>
      <c r="I58" s="181"/>
      <c r="L58" s="406"/>
      <c r="M58" s="139"/>
      <c r="N58" s="139"/>
      <c r="O58" s="139"/>
      <c r="P58" s="143"/>
      <c r="Q58" s="143"/>
      <c r="R58" s="143"/>
      <c r="T58" s="139"/>
    </row>
    <row r="59" spans="1:22" x14ac:dyDescent="0.3">
      <c r="A59"/>
      <c r="B59"/>
      <c r="C59"/>
      <c r="D59"/>
      <c r="E59"/>
      <c r="F59"/>
      <c r="G59"/>
      <c r="H59"/>
      <c r="L59" s="406"/>
      <c r="M59" s="139"/>
      <c r="N59" s="139"/>
      <c r="O59" s="139"/>
      <c r="P59" s="143"/>
      <c r="Q59" s="143"/>
      <c r="R59" s="143"/>
      <c r="T59" s="139"/>
    </row>
    <row r="60" spans="1:22" x14ac:dyDescent="0.3">
      <c r="A60"/>
      <c r="B60"/>
      <c r="C60"/>
      <c r="D60"/>
      <c r="E60"/>
      <c r="F60"/>
      <c r="G60"/>
      <c r="H60"/>
      <c r="L60" s="406"/>
      <c r="M60" s="139"/>
      <c r="N60" s="139"/>
      <c r="O60" s="139"/>
      <c r="P60" s="143"/>
      <c r="Q60" s="143"/>
      <c r="R60" s="143"/>
      <c r="T60" s="139"/>
    </row>
    <row r="61" spans="1:22" x14ac:dyDescent="0.3">
      <c r="A61"/>
      <c r="B61"/>
      <c r="C61"/>
      <c r="D61"/>
      <c r="E61"/>
      <c r="F61"/>
      <c r="G61"/>
      <c r="H61"/>
      <c r="L61" s="406"/>
      <c r="M61" s="139"/>
      <c r="N61" s="139"/>
      <c r="O61" s="139"/>
      <c r="P61" s="143"/>
      <c r="Q61" s="143"/>
      <c r="R61" s="143"/>
      <c r="T61" s="139"/>
    </row>
    <row r="62" spans="1:22" x14ac:dyDescent="0.3">
      <c r="A62"/>
      <c r="B62"/>
      <c r="C62"/>
      <c r="D62"/>
      <c r="E62"/>
      <c r="F62"/>
      <c r="G62"/>
      <c r="H62"/>
      <c r="L62" s="406"/>
      <c r="M62" s="139"/>
      <c r="N62" s="139"/>
      <c r="O62" s="139"/>
      <c r="P62" s="143"/>
      <c r="Q62" s="143"/>
      <c r="R62" s="143"/>
      <c r="T62" s="139"/>
    </row>
    <row r="63" spans="1:22" x14ac:dyDescent="0.3">
      <c r="A63"/>
      <c r="B63"/>
      <c r="C63"/>
      <c r="D63"/>
      <c r="E63"/>
      <c r="F63"/>
      <c r="G63"/>
      <c r="H63"/>
      <c r="L63" s="406"/>
      <c r="M63" s="139"/>
      <c r="N63" s="139"/>
      <c r="O63" s="139"/>
      <c r="P63" s="143"/>
      <c r="Q63" s="143"/>
      <c r="R63" s="143"/>
      <c r="T63" s="139"/>
    </row>
    <row r="64" spans="1:22" x14ac:dyDescent="0.3">
      <c r="C64" s="110"/>
      <c r="D64" s="110"/>
      <c r="E64" s="110"/>
      <c r="F64" s="110"/>
      <c r="G64" s="110"/>
      <c r="H64" s="110"/>
      <c r="I64" s="110"/>
      <c r="L64" s="406"/>
      <c r="M64" s="139"/>
      <c r="N64" s="139"/>
      <c r="O64" s="139"/>
      <c r="P64" s="143"/>
      <c r="Q64" s="143"/>
      <c r="R64" s="143"/>
      <c r="T64" s="139"/>
    </row>
    <row r="65" spans="1:21" x14ac:dyDescent="0.3">
      <c r="A65" s="404"/>
      <c r="B65" s="404"/>
      <c r="C65" s="404"/>
      <c r="D65" s="445"/>
      <c r="E65" s="489"/>
      <c r="F65" s="445"/>
      <c r="G65" s="404"/>
      <c r="H65" s="404"/>
      <c r="I65" s="445"/>
      <c r="L65" s="400"/>
      <c r="M65" s="139"/>
      <c r="N65" s="139"/>
      <c r="O65" s="139"/>
      <c r="P65" s="143"/>
      <c r="Q65" s="143"/>
      <c r="R65" s="143"/>
      <c r="T65" s="139"/>
    </row>
    <row r="66" spans="1:21" x14ac:dyDescent="0.3">
      <c r="A66" s="404"/>
      <c r="B66" s="404"/>
      <c r="C66" s="404"/>
      <c r="D66" s="445"/>
      <c r="E66" s="489"/>
      <c r="F66" s="445"/>
      <c r="G66" s="404"/>
      <c r="H66" s="404"/>
      <c r="I66" s="445"/>
      <c r="L66" s="406"/>
      <c r="M66" s="139"/>
      <c r="N66" s="139"/>
      <c r="O66" s="139"/>
      <c r="P66" s="143"/>
      <c r="Q66" s="143"/>
      <c r="R66" s="143"/>
      <c r="T66" s="139"/>
    </row>
    <row r="67" spans="1:21" x14ac:dyDescent="0.3">
      <c r="A67" s="404"/>
      <c r="B67" s="404"/>
      <c r="C67" s="404"/>
      <c r="D67" s="445"/>
      <c r="E67" s="489"/>
      <c r="F67" s="445"/>
      <c r="G67" s="404"/>
      <c r="H67" s="404"/>
      <c r="I67" s="445"/>
      <c r="U67" s="142"/>
    </row>
    <row r="68" spans="1:21" x14ac:dyDescent="0.3">
      <c r="A68" s="404"/>
      <c r="B68" s="404"/>
      <c r="C68" s="404"/>
      <c r="D68" s="445"/>
      <c r="E68" s="489"/>
      <c r="F68" s="445"/>
      <c r="G68" s="404"/>
      <c r="H68" s="404"/>
      <c r="I68" s="445"/>
    </row>
    <row r="69" spans="1:21" x14ac:dyDescent="0.3">
      <c r="A69" s="436" t="s">
        <v>327</v>
      </c>
      <c r="B69" s="436">
        <v>-4608544.5599999977</v>
      </c>
      <c r="C69" s="501">
        <f>B69/1000000</f>
        <v>-4.6085445599999977</v>
      </c>
      <c r="D69" s="404"/>
      <c r="E69" s="488">
        <f>C80-E80</f>
        <v>541500.00000000326</v>
      </c>
      <c r="F69" s="404"/>
      <c r="G69" s="445"/>
      <c r="H69" s="404"/>
      <c r="I69" s="404"/>
    </row>
    <row r="70" spans="1:21" x14ac:dyDescent="0.3">
      <c r="A70" s="437" t="s">
        <v>88</v>
      </c>
      <c r="B70" s="437">
        <v>-3516639.58</v>
      </c>
      <c r="C70" s="501">
        <f t="shared" ref="C70:C76" si="8">B70/1000000</f>
        <v>-3.5166395800000001</v>
      </c>
      <c r="D70" s="445"/>
      <c r="E70" s="488"/>
      <c r="F70" s="445"/>
      <c r="G70" s="445"/>
      <c r="H70" s="404"/>
      <c r="I70" s="445"/>
    </row>
    <row r="71" spans="1:21" x14ac:dyDescent="0.3">
      <c r="A71" s="436" t="s">
        <v>328</v>
      </c>
      <c r="B71" s="436">
        <v>-3033180.01</v>
      </c>
      <c r="C71" s="501">
        <f t="shared" si="8"/>
        <v>-3.0331800099999997</v>
      </c>
      <c r="D71" s="404"/>
      <c r="E71" s="489"/>
      <c r="F71" s="404"/>
      <c r="G71" s="404"/>
      <c r="H71" s="445"/>
      <c r="I71" s="404"/>
    </row>
    <row r="72" spans="1:21" x14ac:dyDescent="0.3">
      <c r="A72" s="436" t="s">
        <v>329</v>
      </c>
      <c r="B72" s="436">
        <v>-812066.11999999965</v>
      </c>
      <c r="C72" s="501">
        <f t="shared" si="8"/>
        <v>-0.81206611999999967</v>
      </c>
      <c r="D72" s="404"/>
      <c r="E72" s="489"/>
      <c r="F72" s="404"/>
      <c r="G72" s="404"/>
      <c r="H72" s="404"/>
      <c r="I72" s="404"/>
    </row>
    <row r="73" spans="1:21" x14ac:dyDescent="0.3">
      <c r="A73" s="436" t="s">
        <v>330</v>
      </c>
      <c r="B73" s="436">
        <v>-15204837.429999998</v>
      </c>
      <c r="C73" s="501">
        <f t="shared" si="8"/>
        <v>-15.204837429999998</v>
      </c>
      <c r="D73" s="404"/>
      <c r="E73" s="488"/>
      <c r="F73" s="404"/>
      <c r="G73" s="445"/>
      <c r="H73" s="404"/>
      <c r="I73" s="404"/>
    </row>
    <row r="74" spans="1:21" x14ac:dyDescent="0.3">
      <c r="A74" s="404"/>
      <c r="B74" s="441">
        <f>SUM(B69:B73)</f>
        <v>-27175267.699999996</v>
      </c>
      <c r="C74" s="502">
        <f t="shared" si="8"/>
        <v>-27.175267699999996</v>
      </c>
      <c r="D74" s="445"/>
      <c r="E74" s="488"/>
      <c r="F74" s="445"/>
      <c r="G74" s="445"/>
      <c r="H74" s="404"/>
      <c r="I74" s="445"/>
    </row>
    <row r="75" spans="1:21" x14ac:dyDescent="0.3">
      <c r="A75" s="437" t="s">
        <v>88</v>
      </c>
      <c r="B75" s="437">
        <v>-3516639.58</v>
      </c>
      <c r="C75" s="501">
        <f t="shared" si="8"/>
        <v>-3.5166395800000001</v>
      </c>
      <c r="D75" s="445"/>
      <c r="F75" s="491"/>
      <c r="G75" s="491"/>
      <c r="H75" s="491"/>
      <c r="I75" s="491"/>
    </row>
    <row r="76" spans="1:21" x14ac:dyDescent="0.3">
      <c r="B76" s="440">
        <f>B74-B75</f>
        <v>-23658628.119999997</v>
      </c>
      <c r="C76" s="502">
        <f t="shared" si="8"/>
        <v>-23.658628119999996</v>
      </c>
    </row>
    <row r="79" spans="1:21" ht="14.4" thickBot="1" x14ac:dyDescent="0.35">
      <c r="A79" s="142" t="s">
        <v>412</v>
      </c>
    </row>
    <row r="80" spans="1:21" x14ac:dyDescent="0.3">
      <c r="A80" s="733" t="s">
        <v>406</v>
      </c>
      <c r="B80" s="743">
        <v>1.3969838619232178E-9</v>
      </c>
      <c r="C80" s="743">
        <v>-2707500.0000000135</v>
      </c>
      <c r="D80" s="744" t="s">
        <v>45</v>
      </c>
      <c r="E80" s="745">
        <v>-3249000.0000000168</v>
      </c>
      <c r="F80" s="744" t="s">
        <v>45</v>
      </c>
      <c r="G80" s="743">
        <v>-3249000.0000000168</v>
      </c>
      <c r="H80" s="744" t="s">
        <v>45</v>
      </c>
      <c r="I80" s="746" t="s">
        <v>45</v>
      </c>
      <c r="J80" s="503" t="s">
        <v>411</v>
      </c>
    </row>
    <row r="81" spans="1:17" x14ac:dyDescent="0.3">
      <c r="A81" s="734" t="s">
        <v>407</v>
      </c>
      <c r="B81" s="554">
        <v>-64541403</v>
      </c>
      <c r="C81" s="554">
        <v>-63861223.219999991</v>
      </c>
      <c r="D81" s="554">
        <v>-66415569.666666679</v>
      </c>
      <c r="E81" s="747">
        <v>-63705852.209999993</v>
      </c>
      <c r="F81" s="554">
        <v>-66790403.000000015</v>
      </c>
      <c r="G81" s="554">
        <v>-63705852.209999993</v>
      </c>
      <c r="H81" s="552">
        <v>-69039402.999999985</v>
      </c>
      <c r="I81" s="730">
        <v>-69039402.999999985</v>
      </c>
      <c r="J81" s="503" t="s">
        <v>410</v>
      </c>
    </row>
    <row r="82" spans="1:17" x14ac:dyDescent="0.3">
      <c r="A82" s="735" t="s">
        <v>408</v>
      </c>
      <c r="B82" s="554">
        <v>0</v>
      </c>
      <c r="C82" s="554">
        <v>0</v>
      </c>
      <c r="D82" s="552" t="s">
        <v>45</v>
      </c>
      <c r="E82" s="747">
        <v>0</v>
      </c>
      <c r="F82" s="552" t="s">
        <v>45</v>
      </c>
      <c r="G82" s="554">
        <v>0</v>
      </c>
      <c r="H82" s="552" t="s">
        <v>45</v>
      </c>
      <c r="I82" s="553" t="s">
        <v>45</v>
      </c>
    </row>
    <row r="83" spans="1:17" x14ac:dyDescent="0.3">
      <c r="A83" s="735" t="s">
        <v>409</v>
      </c>
      <c r="B83" s="552" t="s">
        <v>45</v>
      </c>
      <c r="C83" s="552" t="s">
        <v>45</v>
      </c>
      <c r="D83" s="552" t="s">
        <v>45</v>
      </c>
      <c r="E83" s="748" t="s">
        <v>45</v>
      </c>
      <c r="F83" s="552" t="s">
        <v>45</v>
      </c>
      <c r="G83" s="552" t="s">
        <v>45</v>
      </c>
      <c r="H83" s="552" t="s">
        <v>45</v>
      </c>
      <c r="I83" s="553" t="s">
        <v>45</v>
      </c>
    </row>
    <row r="84" spans="1:17" ht="14.4" thickBot="1" x14ac:dyDescent="0.35">
      <c r="A84" s="736" t="s">
        <v>333</v>
      </c>
      <c r="B84" s="749">
        <v>-64541403</v>
      </c>
      <c r="C84" s="749">
        <v>-66568723.220000006</v>
      </c>
      <c r="D84" s="750">
        <v>-66415569.666666679</v>
      </c>
      <c r="E84" s="751">
        <v>-66954852.210000008</v>
      </c>
      <c r="F84" s="750">
        <v>-66790403.000000015</v>
      </c>
      <c r="G84" s="749">
        <v>-66954852.210000008</v>
      </c>
      <c r="H84" s="749">
        <v>-69039402.999999985</v>
      </c>
      <c r="I84" s="752">
        <v>-69039402.999999985</v>
      </c>
    </row>
    <row r="85" spans="1:17" customFormat="1" x14ac:dyDescent="0.3">
      <c r="A85" s="43" t="s">
        <v>413</v>
      </c>
      <c r="B85" s="716"/>
      <c r="E85" s="490"/>
      <c r="F85" s="138"/>
      <c r="G85" s="138"/>
      <c r="H85" s="138"/>
      <c r="I85" s="138"/>
      <c r="J85" s="503"/>
      <c r="K85" s="503"/>
      <c r="L85" s="110"/>
      <c r="M85" s="110"/>
      <c r="N85" s="110"/>
      <c r="O85" s="110"/>
      <c r="P85" s="110"/>
      <c r="Q85" s="110"/>
    </row>
    <row r="86" spans="1:17" customFormat="1" x14ac:dyDescent="0.3">
      <c r="A86" s="110"/>
      <c r="B86" s="110"/>
      <c r="C86" s="143"/>
      <c r="D86" s="143"/>
      <c r="E86" s="490"/>
      <c r="F86" s="138"/>
      <c r="G86" s="138"/>
      <c r="H86" s="138"/>
      <c r="I86" s="138"/>
      <c r="J86" s="503"/>
      <c r="K86" s="503"/>
      <c r="L86" s="110"/>
      <c r="M86" s="110"/>
      <c r="N86" s="110"/>
      <c r="O86" s="110"/>
      <c r="P86" s="110"/>
      <c r="Q86" s="110"/>
    </row>
    <row r="87" spans="1:17" customFormat="1" x14ac:dyDescent="0.3">
      <c r="A87" s="110"/>
      <c r="B87" s="110"/>
      <c r="C87" s="143"/>
      <c r="D87" s="143"/>
      <c r="E87" s="490"/>
      <c r="F87" s="138"/>
      <c r="G87" s="138"/>
      <c r="H87" s="138"/>
      <c r="I87" s="138"/>
      <c r="J87" s="503"/>
      <c r="K87" s="503"/>
      <c r="L87" s="110"/>
      <c r="M87" s="110"/>
      <c r="N87" s="110"/>
      <c r="O87" s="110"/>
      <c r="P87" s="110"/>
      <c r="Q87" s="110"/>
    </row>
    <row r="88" spans="1:17" customFormat="1" x14ac:dyDescent="0.3">
      <c r="A88" s="142" t="s">
        <v>429</v>
      </c>
      <c r="B88" s="110"/>
      <c r="C88" s="143"/>
      <c r="D88" s="143"/>
      <c r="E88" s="490"/>
      <c r="F88" s="138"/>
      <c r="G88" s="138"/>
      <c r="H88" s="138"/>
      <c r="I88" s="138"/>
      <c r="J88" s="503"/>
      <c r="K88" s="503"/>
      <c r="L88" s="110"/>
      <c r="M88" s="110"/>
      <c r="N88" s="110"/>
      <c r="O88" s="110"/>
      <c r="P88" s="110"/>
      <c r="Q88" s="110"/>
    </row>
    <row r="89" spans="1:17" x14ac:dyDescent="0.3">
      <c r="A89" s="737"/>
      <c r="B89" s="737"/>
      <c r="C89" s="737"/>
      <c r="D89" s="737"/>
      <c r="E89" s="737"/>
      <c r="F89" s="737"/>
      <c r="G89" s="737"/>
      <c r="H89" s="737"/>
      <c r="I89" s="737"/>
      <c r="J89" s="737"/>
      <c r="K89" s="737"/>
      <c r="L89" s="737"/>
      <c r="M89" s="737"/>
      <c r="N89" s="737"/>
      <c r="O89" s="737"/>
      <c r="P89"/>
      <c r="Q89"/>
    </row>
    <row r="90" spans="1:17" x14ac:dyDescent="0.3">
      <c r="A90" s="737" t="s">
        <v>415</v>
      </c>
      <c r="B90" s="737">
        <v>-64541403</v>
      </c>
      <c r="C90" s="737"/>
      <c r="D90" s="737"/>
      <c r="E90" s="737"/>
      <c r="F90" s="737"/>
      <c r="G90" s="737"/>
      <c r="H90" s="737"/>
      <c r="I90" s="737"/>
      <c r="J90" s="737"/>
      <c r="K90" s="737"/>
      <c r="L90" s="737"/>
      <c r="M90" s="737"/>
      <c r="N90" s="737"/>
      <c r="O90" s="737"/>
      <c r="P90"/>
      <c r="Q90"/>
    </row>
    <row r="91" spans="1:17" x14ac:dyDescent="0.3">
      <c r="A91" s="716" t="s">
        <v>416</v>
      </c>
      <c r="B91" s="457">
        <v>-541500</v>
      </c>
      <c r="C91" s="457">
        <v>-541500</v>
      </c>
      <c r="D91" s="457">
        <v>-541500</v>
      </c>
      <c r="E91" s="457">
        <v>-541500</v>
      </c>
      <c r="F91" s="457">
        <v>-541500</v>
      </c>
      <c r="G91" s="457">
        <v>-541500</v>
      </c>
      <c r="H91" s="457">
        <v>-541500</v>
      </c>
      <c r="I91" s="457">
        <v>-541500</v>
      </c>
      <c r="J91" s="457">
        <v>-541500</v>
      </c>
      <c r="K91" s="457">
        <v>-541500</v>
      </c>
      <c r="L91" s="457">
        <v>-541500</v>
      </c>
      <c r="M91" s="457">
        <v>-541500</v>
      </c>
      <c r="N91" s="457">
        <v>-6498000</v>
      </c>
      <c r="O91" s="457"/>
      <c r="P91"/>
      <c r="Q91"/>
    </row>
    <row r="92" spans="1:17" x14ac:dyDescent="0.3">
      <c r="A92" t="s">
        <v>414</v>
      </c>
      <c r="B92" s="457">
        <v>166666.66666666666</v>
      </c>
      <c r="C92" s="457">
        <v>166666.66666666666</v>
      </c>
      <c r="D92" s="457">
        <v>166666.66666666666</v>
      </c>
      <c r="E92" s="457">
        <v>166666.66666666666</v>
      </c>
      <c r="F92" s="457">
        <v>166666.66666666666</v>
      </c>
      <c r="G92" s="457">
        <v>166666.66666666666</v>
      </c>
      <c r="H92" s="457">
        <v>166666.66666666666</v>
      </c>
      <c r="I92" s="457">
        <v>166666.66666666666</v>
      </c>
      <c r="J92" s="457">
        <v>166666.66666666666</v>
      </c>
      <c r="K92" s="457">
        <v>166666.66666666666</v>
      </c>
      <c r="L92" s="457">
        <v>166666.66666666666</v>
      </c>
      <c r="M92" s="457">
        <v>166666.66666666666</v>
      </c>
      <c r="N92" s="457">
        <v>2000000.0000000002</v>
      </c>
      <c r="O92" s="457"/>
      <c r="P92"/>
      <c r="Q92"/>
    </row>
    <row r="93" spans="1:17" x14ac:dyDescent="0.3">
      <c r="B93" s="742">
        <f>SUM(B91:B92)</f>
        <v>-374833.33333333337</v>
      </c>
      <c r="C93" s="742">
        <f t="shared" ref="C93:I93" si="9">SUM(C91:C92)</f>
        <v>-374833.33333333337</v>
      </c>
      <c r="D93" s="742">
        <f t="shared" si="9"/>
        <v>-374833.33333333337</v>
      </c>
      <c r="E93" s="742">
        <f t="shared" si="9"/>
        <v>-374833.33333333337</v>
      </c>
      <c r="F93" s="742">
        <f t="shared" si="9"/>
        <v>-374833.33333333337</v>
      </c>
      <c r="G93" s="742">
        <f t="shared" si="9"/>
        <v>-374833.33333333337</v>
      </c>
      <c r="H93" s="742">
        <f t="shared" si="9"/>
        <v>-374833.33333333337</v>
      </c>
      <c r="I93" s="742">
        <f t="shared" si="9"/>
        <v>-374833.33333333337</v>
      </c>
      <c r="J93" s="742">
        <f>SUM(J91:J92)</f>
        <v>-374833.33333333337</v>
      </c>
      <c r="K93" s="742">
        <f>SUM(K91:K92)</f>
        <v>-374833.33333333337</v>
      </c>
      <c r="L93" s="742">
        <f>SUM(L91:L92)</f>
        <v>-374833.33333333337</v>
      </c>
      <c r="M93" s="742">
        <f>SUM(M91:M92)</f>
        <v>-374833.33333333337</v>
      </c>
      <c r="N93" s="742">
        <f>SUM(N91:N92)</f>
        <v>-4498000</v>
      </c>
      <c r="O93" s="742"/>
    </row>
    <row r="94" spans="1:17" x14ac:dyDescent="0.3">
      <c r="A94" s="142" t="s">
        <v>418</v>
      </c>
      <c r="B94" s="142" t="s">
        <v>419</v>
      </c>
    </row>
    <row r="95" spans="1:17" x14ac:dyDescent="0.3">
      <c r="A95" s="738"/>
      <c r="B95" s="739" t="s">
        <v>72</v>
      </c>
      <c r="C95" s="739" t="s">
        <v>417</v>
      </c>
      <c r="D95" s="739" t="s">
        <v>1</v>
      </c>
      <c r="E95" s="740"/>
      <c r="F95" s="740"/>
      <c r="G95" s="740"/>
      <c r="H95" s="740"/>
      <c r="I95" s="740"/>
      <c r="J95" s="740"/>
      <c r="K95" s="740"/>
      <c r="L95" s="740"/>
      <c r="M95" s="740"/>
    </row>
    <row r="96" spans="1:17" x14ac:dyDescent="0.3">
      <c r="A96" s="738"/>
      <c r="B96" s="739" t="s">
        <v>236</v>
      </c>
      <c r="C96" s="739" t="s">
        <v>63</v>
      </c>
      <c r="D96" s="739" t="s">
        <v>237</v>
      </c>
      <c r="E96" s="739" t="s">
        <v>238</v>
      </c>
      <c r="F96" s="739" t="s">
        <v>68</v>
      </c>
      <c r="G96" s="739" t="s">
        <v>239</v>
      </c>
      <c r="H96" s="739" t="s">
        <v>240</v>
      </c>
      <c r="I96" s="739" t="s">
        <v>241</v>
      </c>
      <c r="J96" s="739" t="s">
        <v>242</v>
      </c>
      <c r="K96" s="739" t="s">
        <v>243</v>
      </c>
      <c r="L96" s="739" t="s">
        <v>244</v>
      </c>
      <c r="M96" s="739" t="s">
        <v>245</v>
      </c>
    </row>
    <row r="97" spans="1:16" x14ac:dyDescent="0.3">
      <c r="A97" s="741" t="s">
        <v>407</v>
      </c>
      <c r="B97" s="740">
        <v>-374833.33333333337</v>
      </c>
      <c r="C97" s="740">
        <v>-374833.33333333337</v>
      </c>
      <c r="D97" s="740">
        <v>-374833.33333333337</v>
      </c>
      <c r="E97" s="740">
        <v>-374833.33333333337</v>
      </c>
      <c r="F97" s="740">
        <v>-374833.33333333337</v>
      </c>
      <c r="G97" s="740">
        <v>-374833.33333333337</v>
      </c>
      <c r="H97" s="740">
        <v>-374833.33333333337</v>
      </c>
      <c r="I97" s="740">
        <v>-374833.33333333337</v>
      </c>
      <c r="J97" s="740">
        <v>-374833.33333333337</v>
      </c>
      <c r="K97" s="740">
        <v>-374833.33333333337</v>
      </c>
      <c r="L97" s="740">
        <v>-374833.33333333337</v>
      </c>
      <c r="M97" s="740">
        <v>-374833.33333333337</v>
      </c>
    </row>
    <row r="103" spans="1:16" x14ac:dyDescent="0.3">
      <c r="A103" s="766" t="s">
        <v>430</v>
      </c>
      <c r="B103" s="766"/>
      <c r="C103" s="767">
        <v>1340000</v>
      </c>
      <c r="D103" s="768">
        <v>1340000</v>
      </c>
      <c r="E103" s="768">
        <v>1340000</v>
      </c>
      <c r="F103" s="768">
        <v>1340000</v>
      </c>
      <c r="G103" s="768">
        <v>1340000</v>
      </c>
      <c r="H103" s="768">
        <f>6260000-15000</f>
        <v>6245000</v>
      </c>
      <c r="I103" s="768">
        <v>1340000</v>
      </c>
      <c r="J103" s="768">
        <v>1340000</v>
      </c>
      <c r="K103" s="768">
        <v>1340000</v>
      </c>
      <c r="L103" s="768">
        <v>1340000</v>
      </c>
      <c r="M103" s="768">
        <v>1340000</v>
      </c>
      <c r="N103" s="768">
        <v>1340000</v>
      </c>
      <c r="O103" s="768"/>
      <c r="P103" s="768">
        <f>SUM(C99:N99)</f>
        <v>0</v>
      </c>
    </row>
    <row r="104" spans="1:16" x14ac:dyDescent="0.3">
      <c r="A104" s="766" t="s">
        <v>431</v>
      </c>
      <c r="B104" s="766"/>
      <c r="C104" s="767">
        <v>22500</v>
      </c>
      <c r="D104" s="768">
        <v>22500</v>
      </c>
      <c r="E104" s="768">
        <v>22500</v>
      </c>
      <c r="F104" s="768">
        <v>22500</v>
      </c>
      <c r="G104" s="768">
        <v>22500</v>
      </c>
      <c r="H104" s="768">
        <v>22500</v>
      </c>
      <c r="I104" s="768">
        <v>22500</v>
      </c>
      <c r="J104" s="768">
        <v>22500</v>
      </c>
      <c r="K104" s="768">
        <v>22500</v>
      </c>
      <c r="L104" s="768">
        <v>22500</v>
      </c>
      <c r="M104" s="768">
        <v>22500</v>
      </c>
      <c r="N104" s="768">
        <v>22500</v>
      </c>
      <c r="O104" s="768"/>
      <c r="P104" s="768">
        <f>SUM(C100:N100)</f>
        <v>0</v>
      </c>
    </row>
    <row r="107" spans="1:16" x14ac:dyDescent="0.3">
      <c r="J107" s="503">
        <v>1363</v>
      </c>
    </row>
    <row r="108" spans="1:16" x14ac:dyDescent="0.3">
      <c r="H108" s="138">
        <f>H103-G103</f>
        <v>4905000</v>
      </c>
      <c r="J108" s="503">
        <v>1345</v>
      </c>
    </row>
    <row r="109" spans="1:16" x14ac:dyDescent="0.3">
      <c r="J109" s="503">
        <f>J107-J108</f>
        <v>18</v>
      </c>
    </row>
    <row r="116" spans="10:10" x14ac:dyDescent="0.3">
      <c r="J116" s="322"/>
    </row>
  </sheetData>
  <mergeCells count="3">
    <mergeCell ref="M3:N3"/>
    <mergeCell ref="P3:Q3"/>
    <mergeCell ref="S3:T3"/>
  </mergeCells>
  <printOptions gridLines="1"/>
  <pageMargins left="0.25" right="0.25" top="1" bottom="1" header="0.5" footer="0.5"/>
  <pageSetup scale="86" orientation="portrait" r:id="rId1"/>
  <headerFooter alignWithMargins="0">
    <oddFooter>&amp;L&amp;Z&amp;F
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  <pageSetUpPr fitToPage="1"/>
  </sheetPr>
  <dimension ref="A1:O76"/>
  <sheetViews>
    <sheetView topLeftCell="A34" zoomScale="85" zoomScaleNormal="85" workbookViewId="0">
      <selection activeCell="E59" sqref="E59"/>
    </sheetView>
  </sheetViews>
  <sheetFormatPr defaultColWidth="9.109375" defaultRowHeight="15.6" x14ac:dyDescent="0.3"/>
  <cols>
    <col min="1" max="1" width="59" style="1" bestFit="1" customWidth="1"/>
    <col min="2" max="2" width="21.33203125" style="21" bestFit="1" customWidth="1"/>
    <col min="3" max="3" width="18" style="21" customWidth="1"/>
    <col min="4" max="4" width="15.109375" style="21" customWidth="1"/>
    <col min="5" max="5" width="21.33203125" style="1125" bestFit="1" customWidth="1"/>
    <col min="6" max="8" width="15.109375" style="21" customWidth="1"/>
    <col min="9" max="9" width="17.109375" style="21" customWidth="1"/>
    <col min="10" max="10" width="14.88671875" style="21" customWidth="1"/>
    <col min="11" max="11" width="11.5546875" style="1" customWidth="1"/>
    <col min="12" max="12" width="13.109375" style="1" bestFit="1" customWidth="1"/>
    <col min="13" max="13" width="11.5546875" style="1" bestFit="1" customWidth="1"/>
    <col min="14" max="14" width="26.6640625" style="1" bestFit="1" customWidth="1"/>
    <col min="15" max="16384" width="9.109375" style="1"/>
  </cols>
  <sheetData>
    <row r="1" spans="1:15" ht="20.399999999999999" x14ac:dyDescent="0.35">
      <c r="A1" s="1256" t="s">
        <v>83</v>
      </c>
      <c r="B1" s="1257"/>
      <c r="C1" s="1257"/>
      <c r="D1" s="1257"/>
      <c r="E1" s="1257"/>
      <c r="F1" s="1257"/>
      <c r="G1" s="1257"/>
      <c r="H1" s="1257"/>
      <c r="I1" s="1257"/>
      <c r="J1" s="1257"/>
    </row>
    <row r="2" spans="1:15" ht="20.399999999999999" x14ac:dyDescent="0.35">
      <c r="A2" s="1256" t="s">
        <v>14</v>
      </c>
      <c r="B2" s="1257"/>
      <c r="C2" s="1257"/>
      <c r="D2" s="1257"/>
      <c r="E2" s="1257"/>
      <c r="F2" s="1257"/>
      <c r="G2" s="1257"/>
      <c r="H2" s="1257"/>
      <c r="I2" s="1257"/>
      <c r="J2" s="1257"/>
    </row>
    <row r="3" spans="1:15" ht="20.399999999999999" x14ac:dyDescent="0.35">
      <c r="A3" s="1256" t="s">
        <v>538</v>
      </c>
      <c r="B3" s="1257"/>
      <c r="C3" s="1257"/>
      <c r="D3" s="1257"/>
      <c r="E3" s="1257"/>
      <c r="F3" s="1257"/>
      <c r="G3" s="1257"/>
      <c r="H3" s="1257"/>
      <c r="I3" s="1257"/>
      <c r="J3" s="1257"/>
      <c r="L3" s="1050"/>
      <c r="M3" s="1054"/>
      <c r="N3" s="1054"/>
      <c r="O3" s="1054"/>
    </row>
    <row r="4" spans="1:15" ht="13.95" customHeight="1" x14ac:dyDescent="0.35">
      <c r="A4" s="1207"/>
      <c r="B4"/>
      <c r="C4"/>
      <c r="D4"/>
      <c r="E4" s="46"/>
      <c r="F4"/>
      <c r="G4"/>
      <c r="H4"/>
      <c r="I4"/>
      <c r="J4"/>
      <c r="L4" s="1050"/>
      <c r="M4" s="1054"/>
      <c r="N4" s="1054"/>
      <c r="O4" s="1054"/>
    </row>
    <row r="5" spans="1:15" ht="13.95" customHeight="1" x14ac:dyDescent="0.35">
      <c r="A5" s="1207"/>
      <c r="B5"/>
      <c r="C5" s="460"/>
      <c r="D5"/>
      <c r="E5" s="46"/>
      <c r="F5" s="51"/>
      <c r="G5"/>
      <c r="H5"/>
      <c r="I5"/>
      <c r="J5"/>
      <c r="L5" s="1050"/>
      <c r="M5" s="1054"/>
      <c r="N5" s="1054"/>
      <c r="O5" s="1054"/>
    </row>
    <row r="6" spans="1:15" s="2" customFormat="1" ht="13.95" customHeight="1" thickBot="1" x14ac:dyDescent="0.3">
      <c r="B6" s="1258" t="s">
        <v>15</v>
      </c>
      <c r="C6" s="1259"/>
      <c r="D6" s="22"/>
      <c r="E6" s="1259"/>
      <c r="F6" s="1259"/>
      <c r="G6" s="23"/>
      <c r="H6" s="23"/>
      <c r="I6" s="23"/>
      <c r="J6" s="23"/>
      <c r="L6" s="1050"/>
      <c r="M6" s="1055"/>
      <c r="N6" s="1055"/>
      <c r="O6" s="1055"/>
    </row>
    <row r="7" spans="1:15" s="2" customFormat="1" ht="18" customHeight="1" thickBot="1" x14ac:dyDescent="0.35">
      <c r="A7" s="1100" t="s">
        <v>52</v>
      </c>
      <c r="B7" s="1253" t="s">
        <v>40</v>
      </c>
      <c r="C7" s="1254"/>
      <c r="D7" s="1255"/>
      <c r="E7" s="1253" t="s">
        <v>275</v>
      </c>
      <c r="F7" s="1254"/>
      <c r="G7" s="1255"/>
      <c r="H7" s="1033"/>
      <c r="I7" s="1101" t="s">
        <v>30</v>
      </c>
      <c r="J7" s="1206"/>
      <c r="L7" s="1050"/>
      <c r="M7" s="1055"/>
      <c r="N7" s="1055"/>
      <c r="O7" s="1055"/>
    </row>
    <row r="8" spans="1:15" s="2" customFormat="1" ht="16.2" customHeight="1" thickBot="1" x14ac:dyDescent="0.35">
      <c r="A8" s="1102" t="s">
        <v>16</v>
      </c>
      <c r="B8" s="1103" t="s">
        <v>2</v>
      </c>
      <c r="C8" s="1104" t="s">
        <v>17</v>
      </c>
      <c r="D8" s="1105" t="s">
        <v>71</v>
      </c>
      <c r="E8" s="1124" t="s">
        <v>2</v>
      </c>
      <c r="F8" s="1104" t="s">
        <v>17</v>
      </c>
      <c r="G8" s="1105" t="s">
        <v>71</v>
      </c>
      <c r="H8" s="1103" t="s">
        <v>49</v>
      </c>
      <c r="I8" s="1104" t="s">
        <v>17</v>
      </c>
      <c r="J8" s="1106" t="s">
        <v>71</v>
      </c>
      <c r="K8" s="87"/>
      <c r="L8" s="1050"/>
      <c r="M8" s="1055"/>
      <c r="N8" s="1055"/>
      <c r="O8" s="1055"/>
    </row>
    <row r="9" spans="1:15" s="2" customFormat="1" ht="16.5" customHeight="1" x14ac:dyDescent="0.3">
      <c r="A9" s="193" t="s">
        <v>109</v>
      </c>
      <c r="B9" s="882">
        <f>+income!B35</f>
        <v>-5181.8208500000019</v>
      </c>
      <c r="C9" s="883">
        <f>+income!C35</f>
        <v>0</v>
      </c>
      <c r="D9" s="884">
        <f>B9-C9</f>
        <v>-5181.8208500000019</v>
      </c>
      <c r="E9" s="882">
        <f>+income!E35</f>
        <v>-6045.9377100000156</v>
      </c>
      <c r="F9" s="883">
        <f>+income!F35</f>
        <v>0</v>
      </c>
      <c r="G9" s="884">
        <f>E9-F9</f>
        <v>-6045.9377100000156</v>
      </c>
      <c r="H9" s="882">
        <f>+income!H35</f>
        <v>-4915.0753100000029</v>
      </c>
      <c r="I9" s="883">
        <f>+income!I35</f>
        <v>0</v>
      </c>
      <c r="J9" s="884">
        <f>H9-I9</f>
        <v>-4915.0753100000029</v>
      </c>
      <c r="K9" s="982"/>
      <c r="L9" s="1056"/>
      <c r="M9" s="1047"/>
      <c r="N9" s="1041"/>
      <c r="O9" s="1057"/>
    </row>
    <row r="10" spans="1:15" s="2" customFormat="1" ht="16.5" customHeight="1" x14ac:dyDescent="0.3">
      <c r="A10" s="193" t="s">
        <v>313</v>
      </c>
      <c r="B10" s="90">
        <f>'income-SME'!B21</f>
        <v>-379.05113999999998</v>
      </c>
      <c r="C10" s="97">
        <f>'income-SME'!C21</f>
        <v>0</v>
      </c>
      <c r="D10" s="93">
        <f>B10-C10</f>
        <v>-379.05113999999998</v>
      </c>
      <c r="E10" s="90">
        <f>'income-SME'!E21</f>
        <v>-379.05114000000322</v>
      </c>
      <c r="F10" s="97">
        <f>'income-SME'!F21</f>
        <v>0</v>
      </c>
      <c r="G10" s="93">
        <f>E10-F10</f>
        <v>-379.05114000000322</v>
      </c>
      <c r="H10" s="90">
        <f>'income-SME'!H21</f>
        <v>-379.05114000000322</v>
      </c>
      <c r="I10" s="97">
        <f>'income-SME'!I21</f>
        <v>0</v>
      </c>
      <c r="J10" s="93">
        <f>H10-I10</f>
        <v>-379.05114000000322</v>
      </c>
      <c r="K10" s="982"/>
      <c r="L10" s="1056"/>
      <c r="M10" s="1047"/>
      <c r="N10" s="1041"/>
      <c r="O10" s="1057"/>
    </row>
    <row r="11" spans="1:15" s="2" customFormat="1" ht="16.5" customHeight="1" x14ac:dyDescent="0.3">
      <c r="A11" s="193" t="s">
        <v>403</v>
      </c>
      <c r="B11" s="90">
        <f>(essincome!C29+essincome!C28)/1000</f>
        <v>0</v>
      </c>
      <c r="C11" s="97">
        <f>(essincome!D29+essincome!D28)/1000</f>
        <v>0</v>
      </c>
      <c r="D11" s="93">
        <f>B11-C11</f>
        <v>0</v>
      </c>
      <c r="E11" s="90">
        <f>(essincome!F29+essincome!F28)/1000</f>
        <v>0</v>
      </c>
      <c r="F11" s="97">
        <f>(essincome!G29+essincome!G28)/1000</f>
        <v>0</v>
      </c>
      <c r="G11" s="93">
        <f>E11-F11</f>
        <v>0</v>
      </c>
      <c r="H11" s="90">
        <f>(essincome!I29+essincome!I28)/1000</f>
        <v>0</v>
      </c>
      <c r="I11" s="97">
        <f>(essincome!J29+essincome!J28)/1000</f>
        <v>0</v>
      </c>
      <c r="J11" s="93">
        <f>H11-I11</f>
        <v>0</v>
      </c>
      <c r="K11" s="982"/>
      <c r="L11" s="1056"/>
      <c r="M11" s="1047"/>
      <c r="N11" s="1041"/>
      <c r="O11" s="1057"/>
    </row>
    <row r="12" spans="1:15" s="2" customFormat="1" ht="16.5" customHeight="1" x14ac:dyDescent="0.3">
      <c r="A12" s="193" t="s">
        <v>499</v>
      </c>
      <c r="B12" s="90">
        <f>-(+essincome!C87+essincome!C90)/1000</f>
        <v>0</v>
      </c>
      <c r="C12" s="97"/>
      <c r="D12" s="93"/>
      <c r="E12" s="90">
        <f>-(+essincome!F87+essincome!F90)/1000</f>
        <v>1321.82881</v>
      </c>
      <c r="F12" s="97"/>
      <c r="G12" s="93"/>
      <c r="H12" s="90"/>
      <c r="I12" s="97"/>
      <c r="J12" s="93"/>
      <c r="K12" s="982"/>
      <c r="L12" s="1056"/>
      <c r="M12" s="1047"/>
      <c r="N12" s="1041"/>
      <c r="O12" s="1057"/>
    </row>
    <row r="13" spans="1:15" s="2" customFormat="1" ht="16.5" customHeight="1" x14ac:dyDescent="0.3">
      <c r="A13" s="12"/>
      <c r="B13" s="90"/>
      <c r="C13" s="97"/>
      <c r="D13" s="93"/>
      <c r="E13" s="90"/>
      <c r="F13" s="97"/>
      <c r="G13" s="93"/>
      <c r="H13" s="90"/>
      <c r="I13" s="97"/>
      <c r="J13" s="93"/>
      <c r="K13" s="982"/>
      <c r="L13" s="1056"/>
      <c r="M13" s="1047"/>
      <c r="N13" s="1041"/>
      <c r="O13" s="1057"/>
    </row>
    <row r="14" spans="1:15" s="2" customFormat="1" ht="16.5" customHeight="1" x14ac:dyDescent="0.3">
      <c r="A14" s="193" t="s">
        <v>18</v>
      </c>
      <c r="B14" s="90"/>
      <c r="C14" s="97"/>
      <c r="D14" s="93"/>
      <c r="E14" s="90"/>
      <c r="F14" s="97"/>
      <c r="G14" s="93"/>
      <c r="H14" s="90"/>
      <c r="I14" s="97"/>
      <c r="J14" s="93"/>
      <c r="K14" s="1208"/>
      <c r="L14" s="1056"/>
      <c r="M14" s="1047"/>
      <c r="N14" s="802"/>
      <c r="O14" s="1057"/>
    </row>
    <row r="15" spans="1:15" s="2" customFormat="1" ht="16.5" customHeight="1" x14ac:dyDescent="0.3">
      <c r="A15" s="193" t="s">
        <v>19</v>
      </c>
      <c r="B15" s="90">
        <f>cashflowGL!M12</f>
        <v>0</v>
      </c>
      <c r="C15" s="170">
        <f>cashflowGL!N12</f>
        <v>0</v>
      </c>
      <c r="D15" s="93">
        <f>B15-C15</f>
        <v>0</v>
      </c>
      <c r="E15" s="90">
        <f>cashflowGL!P12</f>
        <v>9264.3905300000315</v>
      </c>
      <c r="F15" s="97">
        <f>cashflowGL!Q12</f>
        <v>-369808.79394</v>
      </c>
      <c r="G15" s="93">
        <f>E15-F15</f>
        <v>379073.18447000004</v>
      </c>
      <c r="H15" s="90">
        <f>cashflowGL!S12</f>
        <v>-369808.79394</v>
      </c>
      <c r="I15" s="97">
        <f>cashflowGL!T12</f>
        <v>-369808.79394</v>
      </c>
      <c r="J15" s="93">
        <f>H15-I15</f>
        <v>0</v>
      </c>
      <c r="K15" s="1208"/>
      <c r="L15" s="1056"/>
      <c r="M15" s="1047"/>
      <c r="N15" s="1041"/>
      <c r="O15" s="1057"/>
    </row>
    <row r="16" spans="1:15" s="2" customFormat="1" ht="16.5" customHeight="1" x14ac:dyDescent="0.3">
      <c r="A16" s="193" t="s">
        <v>355</v>
      </c>
      <c r="B16" s="90">
        <f>cashflowGL!M13-B29</f>
        <v>449.21208000002429</v>
      </c>
      <c r="C16" s="97">
        <f>cashflowGL!N13-C29</f>
        <v>0</v>
      </c>
      <c r="D16" s="93">
        <f>B16-C16</f>
        <v>449.21208000002429</v>
      </c>
      <c r="E16" s="90">
        <f>cashflowGL!P13-E29</f>
        <v>-4107.3984799999853</v>
      </c>
      <c r="F16" s="97">
        <f>cashflowGL!Q13-F29</f>
        <v>-34620.33866999999</v>
      </c>
      <c r="G16" s="93">
        <f>E16-F16</f>
        <v>30512.940190000005</v>
      </c>
      <c r="H16" s="90">
        <f>cashflowGL!S13-H29</f>
        <v>-34620.33866999999</v>
      </c>
      <c r="I16" s="97">
        <f>cashflowGL!T13-I29</f>
        <v>-34620.33866999999</v>
      </c>
      <c r="J16" s="93">
        <f>H16-I16</f>
        <v>0</v>
      </c>
      <c r="K16" s="982"/>
      <c r="L16" s="1056"/>
      <c r="M16" s="1047"/>
      <c r="N16" s="1041"/>
      <c r="O16" s="1057"/>
    </row>
    <row r="17" spans="1:15" s="2" customFormat="1" ht="16.5" customHeight="1" x14ac:dyDescent="0.3">
      <c r="A17" s="1107" t="s">
        <v>94</v>
      </c>
      <c r="B17" s="90">
        <f>cashflowGL!M14-B30</f>
        <v>601.89634999997918</v>
      </c>
      <c r="C17" s="97">
        <f>cashflowGL!N14-C30</f>
        <v>0</v>
      </c>
      <c r="D17" s="93">
        <f>B17-C17</f>
        <v>601.89634999997918</v>
      </c>
      <c r="E17" s="90">
        <f>cashflowGL!P14-E30</f>
        <v>3290.4624299999923</v>
      </c>
      <c r="F17" s="97">
        <f>cashflowGL!Q14-F30</f>
        <v>-90251.32004999998</v>
      </c>
      <c r="G17" s="93">
        <f>E17-F17</f>
        <v>93541.782479999965</v>
      </c>
      <c r="H17" s="90">
        <f>cashflowGL!S14-H30</f>
        <v>-90251.32004999998</v>
      </c>
      <c r="I17" s="97">
        <f>cashflowGL!T14-I30</f>
        <v>-90251.32004999998</v>
      </c>
      <c r="J17" s="93">
        <f>H17-I17</f>
        <v>0</v>
      </c>
      <c r="K17" s="982"/>
      <c r="L17" s="1056"/>
      <c r="M17" s="1047"/>
      <c r="N17" s="1041"/>
      <c r="O17" s="1057"/>
    </row>
    <row r="18" spans="1:15" s="2" customFormat="1" ht="16.5" customHeight="1" x14ac:dyDescent="0.3">
      <c r="A18" s="193" t="s">
        <v>108</v>
      </c>
      <c r="B18" s="90">
        <f>cashflowGL!M15</f>
        <v>0</v>
      </c>
      <c r="C18" s="97">
        <f>cashflowGL!N15</f>
        <v>0</v>
      </c>
      <c r="D18" s="93">
        <f>B18-C18</f>
        <v>0</v>
      </c>
      <c r="E18" s="90">
        <f>cashflowGL!P15</f>
        <v>-1333.3015800000001</v>
      </c>
      <c r="F18" s="97">
        <f>cashflowGL!Q15</f>
        <v>0</v>
      </c>
      <c r="G18" s="93">
        <f>E18-F18</f>
        <v>-1333.3015800000001</v>
      </c>
      <c r="H18" s="90">
        <f>cashflowGL!S15</f>
        <v>0</v>
      </c>
      <c r="I18" s="97">
        <f>cashflowGL!T15</f>
        <v>0</v>
      </c>
      <c r="J18" s="93">
        <f>H18-I18</f>
        <v>0</v>
      </c>
      <c r="K18" s="982"/>
      <c r="L18" s="1056"/>
      <c r="M18" s="1047"/>
      <c r="N18" s="1041"/>
      <c r="O18" s="1057"/>
    </row>
    <row r="19" spans="1:15" s="87" customFormat="1" ht="16.5" customHeight="1" x14ac:dyDescent="0.3">
      <c r="A19" s="88"/>
      <c r="B19" s="90"/>
      <c r="C19" s="97"/>
      <c r="D19" s="93"/>
      <c r="E19" s="90"/>
      <c r="F19" s="97"/>
      <c r="G19" s="93"/>
      <c r="H19" s="90"/>
      <c r="I19" s="97"/>
      <c r="J19" s="93"/>
      <c r="K19" s="987"/>
      <c r="L19" s="1056"/>
      <c r="M19" s="1047"/>
      <c r="N19" s="1041"/>
      <c r="O19" s="1057"/>
    </row>
    <row r="20" spans="1:15" s="2" customFormat="1" ht="16.5" customHeight="1" x14ac:dyDescent="0.3">
      <c r="A20" s="193" t="s">
        <v>20</v>
      </c>
      <c r="B20" s="90"/>
      <c r="C20" s="97"/>
      <c r="D20" s="93"/>
      <c r="E20" s="90"/>
      <c r="F20" s="97"/>
      <c r="G20" s="93"/>
      <c r="H20" s="90"/>
      <c r="I20" s="97"/>
      <c r="J20" s="93"/>
      <c r="K20" s="1208"/>
      <c r="L20" s="1056"/>
      <c r="M20" s="1047"/>
      <c r="N20" s="1041"/>
      <c r="O20" s="1057"/>
    </row>
    <row r="21" spans="1:15" s="2" customFormat="1" ht="16.5" customHeight="1" x14ac:dyDescent="0.3">
      <c r="A21" s="193" t="s">
        <v>533</v>
      </c>
      <c r="B21" s="90">
        <f>cashflowGL!M18</f>
        <v>0</v>
      </c>
      <c r="C21" s="97">
        <f>cashflowGL!N18</f>
        <v>0</v>
      </c>
      <c r="D21" s="93">
        <f>B23-C23</f>
        <v>0</v>
      </c>
      <c r="E21" s="90">
        <f>cashflowGL!P18</f>
        <v>10748.293969999999</v>
      </c>
      <c r="F21" s="97">
        <f>cashflowGL!Q18</f>
        <v>65063.840179999999</v>
      </c>
      <c r="G21" s="93">
        <f t="shared" ref="G21:G26" si="0">E21-F21</f>
        <v>-54315.54621</v>
      </c>
      <c r="H21" s="90">
        <f>cashflowGL!S18</f>
        <v>65063.840179999999</v>
      </c>
      <c r="I21" s="97">
        <f>cashflowGL!T18</f>
        <v>65063.840179999999</v>
      </c>
      <c r="J21" s="93">
        <f t="shared" ref="J21:J26" si="1">H21-I21</f>
        <v>0</v>
      </c>
      <c r="K21" s="1208"/>
      <c r="L21" s="1056"/>
      <c r="M21" s="1047"/>
      <c r="N21" s="1041"/>
      <c r="O21" s="1057"/>
    </row>
    <row r="22" spans="1:15" s="2" customFormat="1" ht="16.5" customHeight="1" x14ac:dyDescent="0.3">
      <c r="A22" s="193" t="s">
        <v>89</v>
      </c>
      <c r="B22" s="90">
        <f>cashflowGL!M23</f>
        <v>-9391.1867000000148</v>
      </c>
      <c r="C22" s="97">
        <f>cashflowGL!N23</f>
        <v>0</v>
      </c>
      <c r="D22" s="93">
        <f>B22-C22</f>
        <v>-9391.1867000000148</v>
      </c>
      <c r="E22" s="90">
        <f>cashflowGL!P23</f>
        <v>-9020.7221299999965</v>
      </c>
      <c r="F22" s="97">
        <f>cashflowGL!Q23</f>
        <v>-38961.28394999999</v>
      </c>
      <c r="G22" s="93">
        <f t="shared" si="0"/>
        <v>29940.561819999995</v>
      </c>
      <c r="H22" s="90">
        <f>cashflowGL!S23</f>
        <v>-38961.28394999999</v>
      </c>
      <c r="I22" s="97">
        <f>cashflowGL!T23</f>
        <v>-38961.28394999999</v>
      </c>
      <c r="J22" s="93">
        <f t="shared" si="1"/>
        <v>0</v>
      </c>
      <c r="K22" s="1208"/>
      <c r="L22" s="1056"/>
      <c r="M22" s="1047"/>
      <c r="N22" s="1041"/>
      <c r="O22" s="1057"/>
    </row>
    <row r="23" spans="1:15" s="195" customFormat="1" ht="16.5" customHeight="1" x14ac:dyDescent="0.3">
      <c r="A23" s="193" t="s">
        <v>405</v>
      </c>
      <c r="B23" s="90">
        <f>cashflowGL!M24</f>
        <v>0</v>
      </c>
      <c r="C23" s="97">
        <f>cashflowGL!N24</f>
        <v>0</v>
      </c>
      <c r="D23" s="93">
        <f>B23-C23</f>
        <v>0</v>
      </c>
      <c r="E23" s="90">
        <f>cashflowGL!P24</f>
        <v>0</v>
      </c>
      <c r="F23" s="97">
        <f>cashflowGL!Q24</f>
        <v>-12551.32165</v>
      </c>
      <c r="G23" s="93">
        <f t="shared" si="0"/>
        <v>12551.32165</v>
      </c>
      <c r="H23" s="90">
        <f>cashflowGL!S24</f>
        <v>-12551.32165</v>
      </c>
      <c r="I23" s="97">
        <f>cashflowGL!T24</f>
        <v>-12551.32165</v>
      </c>
      <c r="J23" s="93">
        <f t="shared" si="1"/>
        <v>0</v>
      </c>
      <c r="K23" s="982"/>
      <c r="L23" s="1056"/>
      <c r="M23" s="1047"/>
      <c r="N23" s="802"/>
      <c r="O23" s="1057"/>
    </row>
    <row r="24" spans="1:15" s="195" customFormat="1" ht="16.5" customHeight="1" x14ac:dyDescent="0.3">
      <c r="A24" s="193" t="s">
        <v>135</v>
      </c>
      <c r="B24" s="90">
        <f>cashflowGL!M25</f>
        <v>0</v>
      </c>
      <c r="C24" s="97">
        <f>cashflowGL!N25</f>
        <v>0</v>
      </c>
      <c r="D24" s="93">
        <f>B24-C24</f>
        <v>0</v>
      </c>
      <c r="E24" s="90">
        <f>cashflowGL!P25</f>
        <v>-130.19999999999999</v>
      </c>
      <c r="F24" s="97">
        <f>cashflowGL!Q25</f>
        <v>-315.57705000000004</v>
      </c>
      <c r="G24" s="93">
        <f t="shared" si="0"/>
        <v>185.37705000000005</v>
      </c>
      <c r="H24" s="90">
        <f>cashflowGL!S25</f>
        <v>-315.57705000000004</v>
      </c>
      <c r="I24" s="97">
        <f>cashflowGL!T25</f>
        <v>-315.57705000000004</v>
      </c>
      <c r="J24" s="93">
        <f t="shared" si="1"/>
        <v>0</v>
      </c>
      <c r="K24" s="982"/>
      <c r="L24" s="1056"/>
      <c r="M24" s="1047"/>
      <c r="N24" s="1041"/>
      <c r="O24" s="1057"/>
    </row>
    <row r="25" spans="1:15" s="2" customFormat="1" ht="16.5" customHeight="1" x14ac:dyDescent="0.3">
      <c r="A25" s="193" t="s">
        <v>87</v>
      </c>
      <c r="B25" s="90">
        <f>cashflowGL!M26</f>
        <v>345.10250000000002</v>
      </c>
      <c r="C25" s="97">
        <f>cashflowGL!N26</f>
        <v>0</v>
      </c>
      <c r="D25" s="93">
        <f>B25-C25</f>
        <v>345.10250000000002</v>
      </c>
      <c r="E25" s="90">
        <f>cashflowGL!P26</f>
        <v>243.92891000000014</v>
      </c>
      <c r="F25" s="97">
        <f>cashflowGL!Q26</f>
        <v>6613.6498000000001</v>
      </c>
      <c r="G25" s="93">
        <f t="shared" si="0"/>
        <v>-6369.7208899999996</v>
      </c>
      <c r="H25" s="90">
        <f>cashflowGL!S26</f>
        <v>6613.6498000000001</v>
      </c>
      <c r="I25" s="97">
        <f>cashflowGL!T26</f>
        <v>6613.6498000000001</v>
      </c>
      <c r="J25" s="93">
        <f t="shared" si="1"/>
        <v>0</v>
      </c>
      <c r="K25" s="982"/>
      <c r="L25" s="1056"/>
      <c r="M25" s="1047"/>
      <c r="N25" s="1041"/>
      <c r="O25" s="1057"/>
    </row>
    <row r="26" spans="1:15" s="2" customFormat="1" ht="16.5" customHeight="1" x14ac:dyDescent="0.3">
      <c r="A26" s="193" t="s">
        <v>21</v>
      </c>
      <c r="B26" s="90">
        <f>cashflowGL!M27</f>
        <v>55417.807120000005</v>
      </c>
      <c r="C26" s="97">
        <f>cashflowGL!N27</f>
        <v>0</v>
      </c>
      <c r="D26" s="93">
        <f>B26-C26</f>
        <v>55417.807120000005</v>
      </c>
      <c r="E26" s="90">
        <f>cashflowGL!P27</f>
        <v>45471.540049999894</v>
      </c>
      <c r="F26" s="97">
        <f>cashflowGL!Q27</f>
        <v>31102.732469999934</v>
      </c>
      <c r="G26" s="93">
        <f t="shared" si="0"/>
        <v>14368.807579999961</v>
      </c>
      <c r="H26" s="90">
        <f>cashflowGL!S27</f>
        <v>31102.732469999934</v>
      </c>
      <c r="I26" s="97">
        <f>cashflowGL!T27</f>
        <v>31102.732469999934</v>
      </c>
      <c r="J26" s="93">
        <f t="shared" si="1"/>
        <v>0</v>
      </c>
      <c r="K26" s="982"/>
      <c r="L26" s="1056"/>
      <c r="M26" s="1047"/>
      <c r="N26" s="802"/>
      <c r="O26" s="1057"/>
    </row>
    <row r="27" spans="1:15" s="2" customFormat="1" ht="16.5" customHeight="1" x14ac:dyDescent="0.3">
      <c r="A27" s="12"/>
      <c r="B27" s="90"/>
      <c r="C27" s="97"/>
      <c r="D27" s="93"/>
      <c r="E27" s="90"/>
      <c r="F27" s="97"/>
      <c r="G27" s="93"/>
      <c r="H27" s="90"/>
      <c r="I27" s="97"/>
      <c r="J27" s="93"/>
      <c r="K27" s="982"/>
      <c r="L27" s="1056"/>
      <c r="M27" s="1047"/>
      <c r="N27" s="1041"/>
      <c r="O27" s="1057"/>
    </row>
    <row r="28" spans="1:15" s="2" customFormat="1" ht="16.5" customHeight="1" x14ac:dyDescent="0.3">
      <c r="A28" s="193" t="s">
        <v>84</v>
      </c>
      <c r="B28" s="90"/>
      <c r="C28" s="97"/>
      <c r="D28" s="93"/>
      <c r="E28" s="90"/>
      <c r="F28" s="97"/>
      <c r="G28" s="93"/>
      <c r="H28" s="90"/>
      <c r="I28" s="97"/>
      <c r="J28" s="93"/>
      <c r="K28" s="51"/>
      <c r="L28" s="1056"/>
      <c r="M28" s="1047"/>
      <c r="N28" s="1041"/>
      <c r="O28" s="1057"/>
    </row>
    <row r="29" spans="1:15" s="2" customFormat="1" ht="16.5" customHeight="1" x14ac:dyDescent="0.3">
      <c r="A29" s="193" t="s">
        <v>77</v>
      </c>
      <c r="B29" s="90">
        <v>0</v>
      </c>
      <c r="C29" s="97">
        <v>0</v>
      </c>
      <c r="D29" s="93">
        <f>B29-C29</f>
        <v>0</v>
      </c>
      <c r="E29" s="90">
        <v>0</v>
      </c>
      <c r="F29" s="97">
        <v>0</v>
      </c>
      <c r="G29" s="93">
        <f>E29-F29</f>
        <v>0</v>
      </c>
      <c r="H29" s="90">
        <v>0</v>
      </c>
      <c r="I29" s="97">
        <v>0</v>
      </c>
      <c r="J29" s="93">
        <f>H29-I29</f>
        <v>0</v>
      </c>
      <c r="K29" s="1208"/>
      <c r="L29" s="1056"/>
      <c r="M29" s="1047"/>
      <c r="N29" s="802"/>
      <c r="O29" s="1057"/>
    </row>
    <row r="30" spans="1:15" s="2" customFormat="1" ht="16.5" customHeight="1" x14ac:dyDescent="0.3">
      <c r="A30" s="193" t="s">
        <v>82</v>
      </c>
      <c r="B30" s="90">
        <v>0</v>
      </c>
      <c r="C30" s="97">
        <v>0</v>
      </c>
      <c r="D30" s="93">
        <f>B30-C30</f>
        <v>0</v>
      </c>
      <c r="E30" s="90">
        <v>0</v>
      </c>
      <c r="F30" s="97">
        <v>0</v>
      </c>
      <c r="G30" s="93">
        <f>E30-F30</f>
        <v>0</v>
      </c>
      <c r="H30" s="90">
        <v>0</v>
      </c>
      <c r="I30" s="97">
        <v>0</v>
      </c>
      <c r="J30" s="93">
        <f>H30-I30</f>
        <v>0</v>
      </c>
      <c r="K30" s="982"/>
      <c r="L30" s="1056"/>
      <c r="M30" s="1047"/>
      <c r="N30" s="802"/>
      <c r="O30" s="1057"/>
    </row>
    <row r="31" spans="1:15" s="2" customFormat="1" ht="16.5" customHeight="1" thickBot="1" x14ac:dyDescent="0.35">
      <c r="A31" s="12"/>
      <c r="B31" s="1074"/>
      <c r="C31" s="1062"/>
      <c r="D31" s="1063"/>
      <c r="E31" s="1074"/>
      <c r="F31" s="1062"/>
      <c r="G31" s="1063"/>
      <c r="H31" s="1074"/>
      <c r="I31" s="1062"/>
      <c r="J31" s="1063"/>
      <c r="K31" s="982"/>
      <c r="L31" s="1056"/>
      <c r="M31" s="1047"/>
      <c r="N31" s="1041"/>
      <c r="O31" s="1057"/>
    </row>
    <row r="32" spans="1:15" s="2" customFormat="1" ht="16.5" customHeight="1" thickBot="1" x14ac:dyDescent="0.35">
      <c r="A32" s="193" t="s">
        <v>22</v>
      </c>
      <c r="B32" s="1064">
        <f>SUM(B9:B30)</f>
        <v>41861.959359999993</v>
      </c>
      <c r="C32" s="1065">
        <f>SUM(C9:C30)</f>
        <v>0</v>
      </c>
      <c r="D32" s="1067">
        <f>SUM(D9:D30)</f>
        <v>41861.959359999993</v>
      </c>
      <c r="E32" s="1064">
        <f>SUM(E9:E30)</f>
        <v>49323.833659999917</v>
      </c>
      <c r="F32" s="1065">
        <f>SUM(F9:F30)</f>
        <v>-443728.41286000004</v>
      </c>
      <c r="G32" s="1067">
        <f>SUM(G9:G31)</f>
        <v>491730.41770999989</v>
      </c>
      <c r="H32" s="1066">
        <f>SUM(H9:H30)</f>
        <v>-449022.53931000002</v>
      </c>
      <c r="I32" s="1065">
        <f>SUM(I9:I30)</f>
        <v>-443728.41286000004</v>
      </c>
      <c r="J32" s="1067">
        <f>SUM(J9:J31)</f>
        <v>-5294.1264500000061</v>
      </c>
      <c r="K32" s="1208"/>
      <c r="L32" s="1056"/>
      <c r="M32" s="1047"/>
      <c r="N32" s="1041"/>
      <c r="O32" s="1057"/>
    </row>
    <row r="33" spans="1:15" s="2" customFormat="1" ht="16.5" customHeight="1" x14ac:dyDescent="0.3">
      <c r="A33" s="43"/>
      <c r="B33" s="1068"/>
      <c r="C33" s="1069"/>
      <c r="D33" s="1070"/>
      <c r="E33" s="1068"/>
      <c r="F33" s="1069"/>
      <c r="G33" s="1070"/>
      <c r="H33" s="1068"/>
      <c r="I33" s="1069"/>
      <c r="J33" s="1070"/>
      <c r="K33" s="1208"/>
      <c r="L33" s="1056"/>
      <c r="M33" s="1047"/>
      <c r="N33" s="1058"/>
      <c r="O33" s="1057"/>
    </row>
    <row r="34" spans="1:15" s="2" customFormat="1" ht="16.5" customHeight="1" x14ac:dyDescent="0.3">
      <c r="A34" s="1102" t="s">
        <v>23</v>
      </c>
      <c r="B34" s="1108" t="s">
        <v>15</v>
      </c>
      <c r="C34" s="1109" t="s">
        <v>15</v>
      </c>
      <c r="D34" s="1110" t="s">
        <v>15</v>
      </c>
      <c r="E34" s="90"/>
      <c r="F34" s="97"/>
      <c r="G34" s="1110" t="s">
        <v>15</v>
      </c>
      <c r="H34" s="90"/>
      <c r="I34" s="97"/>
      <c r="J34" s="1110" t="s">
        <v>15</v>
      </c>
      <c r="K34" s="1208"/>
      <c r="L34" s="1056"/>
      <c r="M34" s="1047"/>
      <c r="N34" s="1041"/>
      <c r="O34" s="1057"/>
    </row>
    <row r="35" spans="1:15" s="2" customFormat="1" ht="16.5" customHeight="1" x14ac:dyDescent="0.3">
      <c r="A35" s="1107" t="s">
        <v>117</v>
      </c>
      <c r="B35" s="90">
        <f>cashflowGL!M36</f>
        <v>-82.852500000000006</v>
      </c>
      <c r="C35" s="98">
        <f>cashflowGL!N36</f>
        <v>0</v>
      </c>
      <c r="D35" s="58">
        <f>B35-C35</f>
        <v>-82.852500000000006</v>
      </c>
      <c r="E35" s="90">
        <f>cashflowGL!P36</f>
        <v>-213.11691999999994</v>
      </c>
      <c r="F35" s="97">
        <f>cashflowGL!Q36</f>
        <v>40354.544900000001</v>
      </c>
      <c r="G35" s="93">
        <f>E35-F35</f>
        <v>-40567.661820000001</v>
      </c>
      <c r="H35" s="90">
        <f>cashflowGL!S36</f>
        <v>40354.544900000001</v>
      </c>
      <c r="I35" s="97">
        <f>cashflowGL!T36</f>
        <v>40354.544900000001</v>
      </c>
      <c r="J35" s="93">
        <f>H35-I35</f>
        <v>0</v>
      </c>
      <c r="K35" s="1208"/>
      <c r="L35" s="1056"/>
      <c r="M35" s="1047"/>
      <c r="N35" s="1041"/>
      <c r="O35" s="1057"/>
    </row>
    <row r="36" spans="1:15" s="87" customFormat="1" ht="16.5" customHeight="1" x14ac:dyDescent="0.3">
      <c r="A36" s="1107" t="s">
        <v>50</v>
      </c>
      <c r="B36" s="90">
        <f>cashflowGL!M37</f>
        <v>-366.70281999996303</v>
      </c>
      <c r="C36" s="97">
        <f>cashflowGL!N37</f>
        <v>0</v>
      </c>
      <c r="D36" s="93">
        <f>B36-C36</f>
        <v>-366.70281999996303</v>
      </c>
      <c r="E36" s="90">
        <f>cashflowGL!P37</f>
        <v>-781.37248000013824</v>
      </c>
      <c r="F36" s="97">
        <f>cashflowGL!Q37</f>
        <v>11623.311919999838</v>
      </c>
      <c r="G36" s="93">
        <f>E36-F36</f>
        <v>-12404.684399999976</v>
      </c>
      <c r="H36" s="90">
        <f>cashflowGL!S37</f>
        <v>11623.311919999838</v>
      </c>
      <c r="I36" s="97">
        <f>cashflowGL!T37</f>
        <v>11623.311919999838</v>
      </c>
      <c r="J36" s="93">
        <f>H36-I36</f>
        <v>0</v>
      </c>
      <c r="K36" s="1208"/>
      <c r="L36" s="1056"/>
      <c r="M36" s="1047"/>
      <c r="N36" s="1041"/>
      <c r="O36" s="1057"/>
    </row>
    <row r="37" spans="1:15" s="87" customFormat="1" ht="14.25" customHeight="1" x14ac:dyDescent="0.3">
      <c r="A37" s="1111" t="s">
        <v>51</v>
      </c>
      <c r="B37" s="941">
        <f>cashflowGL!M38</f>
        <v>0</v>
      </c>
      <c r="C37" s="942">
        <f>cashflowGL!N38</f>
        <v>0</v>
      </c>
      <c r="D37" s="943">
        <f>B37-C37</f>
        <v>0</v>
      </c>
      <c r="E37" s="941">
        <f>cashflowGL!P38</f>
        <v>-4114.7378999999164</v>
      </c>
      <c r="F37" s="942">
        <f>cashflowGL!Q38</f>
        <v>463232.32211000007</v>
      </c>
      <c r="G37" s="943">
        <f>E37-F37</f>
        <v>-467347.06000999996</v>
      </c>
      <c r="H37" s="941">
        <f>cashflowGL!S38</f>
        <v>463232.32211000007</v>
      </c>
      <c r="I37" s="942">
        <f>cashflowGL!T38</f>
        <v>463232.32211000007</v>
      </c>
      <c r="J37" s="943">
        <f>H37-I37</f>
        <v>0</v>
      </c>
      <c r="K37" s="1208"/>
      <c r="L37" s="1056"/>
      <c r="M37" s="1047"/>
      <c r="N37" s="1041"/>
      <c r="O37" s="1057"/>
    </row>
    <row r="38" spans="1:15" s="87" customFormat="1" ht="16.5" customHeight="1" thickBot="1" x14ac:dyDescent="0.35">
      <c r="A38" s="1111" t="s">
        <v>69</v>
      </c>
      <c r="B38" s="1071">
        <f>SUM(B36:B37)</f>
        <v>-366.70281999996303</v>
      </c>
      <c r="C38" s="1072">
        <f>SUM(C36:C37)</f>
        <v>0</v>
      </c>
      <c r="D38" s="1073">
        <f>B38-C38</f>
        <v>-366.70281999996303</v>
      </c>
      <c r="E38" s="1071">
        <f>SUM(E36:E37)</f>
        <v>-4896.1103800000546</v>
      </c>
      <c r="F38" s="1072">
        <f>SUM(F36:F37)</f>
        <v>474855.6340299999</v>
      </c>
      <c r="G38" s="1073">
        <f>E38-F38</f>
        <v>-479751.74440999993</v>
      </c>
      <c r="H38" s="1071">
        <f>SUM(H36:H37)-('Cashflow adj'!B10-'Cashflow adj'!N10)</f>
        <v>474855.6340299999</v>
      </c>
      <c r="I38" s="1072">
        <f>SUM(I36:I37)-('Cashflow adj'!B3-'Cashflow adj'!N3)</f>
        <v>474855.6340299999</v>
      </c>
      <c r="J38" s="1073">
        <f>H38-I38</f>
        <v>0</v>
      </c>
      <c r="K38" s="1208"/>
      <c r="L38" s="1056"/>
      <c r="M38" s="1047"/>
      <c r="N38" s="1041"/>
      <c r="O38" s="1057"/>
    </row>
    <row r="39" spans="1:15" s="87" customFormat="1" ht="16.5" customHeight="1" thickBot="1" x14ac:dyDescent="0.35">
      <c r="A39" s="1107" t="s">
        <v>24</v>
      </c>
      <c r="B39" s="1064">
        <f t="shared" ref="B39:J39" si="2">B35+B38</f>
        <v>-449.55531999996305</v>
      </c>
      <c r="C39" s="1065">
        <f t="shared" si="2"/>
        <v>0</v>
      </c>
      <c r="D39" s="1067">
        <f t="shared" si="2"/>
        <v>-449.55531999996305</v>
      </c>
      <c r="E39" s="1064">
        <f t="shared" si="2"/>
        <v>-5109.227300000055</v>
      </c>
      <c r="F39" s="1065">
        <f t="shared" si="2"/>
        <v>515210.17892999988</v>
      </c>
      <c r="G39" s="1067">
        <f t="shared" si="2"/>
        <v>-520319.40622999991</v>
      </c>
      <c r="H39" s="1064">
        <f t="shared" si="2"/>
        <v>515210.17892999988</v>
      </c>
      <c r="I39" s="1065">
        <f t="shared" si="2"/>
        <v>515210.17892999988</v>
      </c>
      <c r="J39" s="1067">
        <f t="shared" si="2"/>
        <v>0</v>
      </c>
      <c r="K39" s="1208"/>
      <c r="L39" s="1056"/>
      <c r="M39" s="1047"/>
      <c r="N39" s="1041"/>
      <c r="O39" s="1057"/>
    </row>
    <row r="40" spans="1:15" s="2" customFormat="1" ht="16.5" customHeight="1" x14ac:dyDescent="0.3">
      <c r="A40" s="43"/>
      <c r="B40" s="1068"/>
      <c r="C40" s="1069"/>
      <c r="D40" s="1070"/>
      <c r="E40" s="1068"/>
      <c r="F40" s="1069"/>
      <c r="G40" s="1070"/>
      <c r="H40" s="1068"/>
      <c r="I40" s="1069"/>
      <c r="J40" s="1070"/>
      <c r="K40" s="1208"/>
      <c r="L40" s="1056"/>
      <c r="M40" s="1047"/>
      <c r="N40" s="1041"/>
      <c r="O40" s="1057"/>
    </row>
    <row r="41" spans="1:15" s="2" customFormat="1" ht="16.5" customHeight="1" x14ac:dyDescent="0.3">
      <c r="A41" s="1102" t="s">
        <v>25</v>
      </c>
      <c r="B41" s="90"/>
      <c r="C41" s="97"/>
      <c r="D41" s="93"/>
      <c r="E41" s="90"/>
      <c r="F41" s="97"/>
      <c r="G41" s="93"/>
      <c r="H41" s="90"/>
      <c r="I41" s="97"/>
      <c r="J41" s="93"/>
      <c r="L41" s="1056"/>
      <c r="M41" s="1047"/>
      <c r="N41" s="1041"/>
      <c r="O41" s="1057"/>
    </row>
    <row r="42" spans="1:15" s="2" customFormat="1" ht="16.5" customHeight="1" x14ac:dyDescent="0.3">
      <c r="A42" s="1107" t="s">
        <v>376</v>
      </c>
      <c r="B42" s="90">
        <f>cashflowGL!M42</f>
        <v>0</v>
      </c>
      <c r="C42" s="97">
        <f>cashflowGL!N42</f>
        <v>0</v>
      </c>
      <c r="D42" s="93"/>
      <c r="E42" s="90">
        <f>cashflowGL!P42</f>
        <v>0</v>
      </c>
      <c r="F42" s="97">
        <f>cashflowGL!Q42</f>
        <v>0</v>
      </c>
      <c r="G42" s="93"/>
      <c r="H42" s="90">
        <f>cashflowGL!S42</f>
        <v>0</v>
      </c>
      <c r="I42" s="97">
        <f>cashflowGL!T42</f>
        <v>0</v>
      </c>
      <c r="J42" s="93"/>
      <c r="L42" s="1056"/>
      <c r="M42" s="1047"/>
      <c r="N42" s="802"/>
      <c r="O42" s="1057"/>
    </row>
    <row r="43" spans="1:15" s="2" customFormat="1" ht="16.5" customHeight="1" x14ac:dyDescent="0.3">
      <c r="A43" s="1111" t="s">
        <v>377</v>
      </c>
      <c r="B43" s="941">
        <f>cashflowGL!M43</f>
        <v>0</v>
      </c>
      <c r="C43" s="942">
        <f>cashflowGL!N43</f>
        <v>0</v>
      </c>
      <c r="D43" s="943"/>
      <c r="E43" s="941">
        <f>cashflowGL!P43</f>
        <v>30000</v>
      </c>
      <c r="F43" s="942">
        <f>cashflowGL!Q43</f>
        <v>-90000</v>
      </c>
      <c r="G43" s="943"/>
      <c r="H43" s="941">
        <f>cashflowGL!S43</f>
        <v>-90000</v>
      </c>
      <c r="I43" s="942">
        <f>cashflowGL!T43</f>
        <v>-90000</v>
      </c>
      <c r="J43" s="943"/>
      <c r="L43" s="1056"/>
      <c r="M43" s="1047"/>
      <c r="N43" s="1041"/>
      <c r="O43" s="1057"/>
    </row>
    <row r="44" spans="1:15" s="2" customFormat="1" ht="16.5" customHeight="1" x14ac:dyDescent="0.3">
      <c r="A44" s="1111" t="s">
        <v>378</v>
      </c>
      <c r="B44" s="941">
        <f>cashflowGL!M44</f>
        <v>0</v>
      </c>
      <c r="C44" s="942">
        <f>cashflowGL!N44</f>
        <v>0</v>
      </c>
      <c r="D44" s="943"/>
      <c r="E44" s="941">
        <f>cashflowGL!P44</f>
        <v>0</v>
      </c>
      <c r="F44" s="942">
        <f>cashflowGL!Q44</f>
        <v>0</v>
      </c>
      <c r="G44" s="943"/>
      <c r="H44" s="941">
        <f>cashflowGL!S44</f>
        <v>0</v>
      </c>
      <c r="I44" s="942">
        <f>cashflowGL!T44</f>
        <v>0</v>
      </c>
      <c r="J44" s="943"/>
      <c r="L44" s="1056"/>
      <c r="M44" s="1047"/>
      <c r="N44" s="1041"/>
      <c r="O44" s="1057"/>
    </row>
    <row r="45" spans="1:15" s="2" customFormat="1" ht="16.5" customHeight="1" thickBot="1" x14ac:dyDescent="0.35">
      <c r="A45" s="1111" t="s">
        <v>106</v>
      </c>
      <c r="B45" s="1071">
        <f>SUM(B42:B44)</f>
        <v>0</v>
      </c>
      <c r="C45" s="1072">
        <f>SUM(C42:C44)</f>
        <v>0</v>
      </c>
      <c r="D45" s="1073">
        <f>B45-C45</f>
        <v>0</v>
      </c>
      <c r="E45" s="1071">
        <f>SUM(E42:E44)</f>
        <v>30000</v>
      </c>
      <c r="F45" s="1072">
        <f>SUM(F42:F44)</f>
        <v>-90000</v>
      </c>
      <c r="G45" s="1073">
        <f>E45-F45</f>
        <v>120000</v>
      </c>
      <c r="H45" s="1071">
        <f>SUM(H42:H44)</f>
        <v>-90000</v>
      </c>
      <c r="I45" s="1072">
        <f>SUM(I42:I44)</f>
        <v>-90000</v>
      </c>
      <c r="J45" s="1073">
        <f>H45-I45</f>
        <v>0</v>
      </c>
      <c r="K45" s="1208"/>
      <c r="L45" s="1056"/>
      <c r="M45" s="1047"/>
      <c r="N45" s="802"/>
      <c r="O45" s="1057"/>
    </row>
    <row r="46" spans="1:15" s="2" customFormat="1" ht="16.5" customHeight="1" thickBot="1" x14ac:dyDescent="0.35">
      <c r="A46" s="193" t="s">
        <v>70</v>
      </c>
      <c r="B46" s="1064">
        <f t="shared" ref="B46:J46" si="3">SUM(B45:B45)</f>
        <v>0</v>
      </c>
      <c r="C46" s="1065">
        <f t="shared" si="3"/>
        <v>0</v>
      </c>
      <c r="D46" s="1067">
        <f t="shared" si="3"/>
        <v>0</v>
      </c>
      <c r="E46" s="1064">
        <f t="shared" si="3"/>
        <v>30000</v>
      </c>
      <c r="F46" s="1065">
        <f t="shared" si="3"/>
        <v>-90000</v>
      </c>
      <c r="G46" s="1067">
        <f t="shared" si="3"/>
        <v>120000</v>
      </c>
      <c r="H46" s="1075">
        <f t="shared" si="3"/>
        <v>-90000</v>
      </c>
      <c r="I46" s="1062">
        <f t="shared" si="3"/>
        <v>-90000</v>
      </c>
      <c r="J46" s="1063">
        <f t="shared" si="3"/>
        <v>0</v>
      </c>
      <c r="K46" s="1208"/>
      <c r="L46" s="1056"/>
      <c r="M46" s="1047"/>
      <c r="N46" s="802"/>
      <c r="O46" s="1057"/>
    </row>
    <row r="47" spans="1:15" s="2" customFormat="1" ht="16.5" customHeight="1" x14ac:dyDescent="0.3">
      <c r="A47" s="43"/>
      <c r="B47" s="1068"/>
      <c r="C47" s="1069"/>
      <c r="D47" s="1070"/>
      <c r="E47" s="1068"/>
      <c r="F47" s="1069"/>
      <c r="G47" s="1070"/>
      <c r="H47" s="1068"/>
      <c r="I47" s="1069"/>
      <c r="J47" s="1070"/>
      <c r="K47" s="1208"/>
      <c r="L47" s="1056"/>
      <c r="M47" s="1047"/>
      <c r="N47" s="1041"/>
      <c r="O47" s="1057"/>
    </row>
    <row r="48" spans="1:15" s="2" customFormat="1" ht="16.5" customHeight="1" x14ac:dyDescent="0.3">
      <c r="A48" s="193" t="s">
        <v>26</v>
      </c>
      <c r="B48" s="90">
        <f t="shared" ref="B48:J48" si="4">B32+B39+B46</f>
        <v>41412.40404000003</v>
      </c>
      <c r="C48" s="97">
        <f t="shared" si="4"/>
        <v>0</v>
      </c>
      <c r="D48" s="93">
        <f t="shared" si="4"/>
        <v>41412.40404000003</v>
      </c>
      <c r="E48" s="90">
        <f t="shared" si="4"/>
        <v>74214.60635999986</v>
      </c>
      <c r="F48" s="97">
        <f t="shared" si="4"/>
        <v>-18518.233930000162</v>
      </c>
      <c r="G48" s="93">
        <f t="shared" si="4"/>
        <v>91411.011479999986</v>
      </c>
      <c r="H48" s="90">
        <f t="shared" si="4"/>
        <v>-23812.360380000144</v>
      </c>
      <c r="I48" s="97">
        <f t="shared" si="4"/>
        <v>-18518.233930000162</v>
      </c>
      <c r="J48" s="93">
        <f t="shared" si="4"/>
        <v>-5294.1264500000061</v>
      </c>
      <c r="L48" s="1056"/>
      <c r="M48" s="1047"/>
      <c r="N48" s="1041"/>
      <c r="O48" s="1057"/>
    </row>
    <row r="49" spans="1:15" s="2" customFormat="1" ht="16.5" customHeight="1" thickBot="1" x14ac:dyDescent="0.35">
      <c r="A49" s="44"/>
      <c r="B49" s="68"/>
      <c r="C49" s="1076"/>
      <c r="D49" s="70"/>
      <c r="E49" s="68"/>
      <c r="F49" s="1076"/>
      <c r="G49" s="70"/>
      <c r="H49" s="68"/>
      <c r="I49" s="1076"/>
      <c r="J49" s="70"/>
      <c r="K49" s="1208"/>
      <c r="L49" s="1056"/>
      <c r="M49" s="1047"/>
      <c r="N49" s="802"/>
      <c r="O49" s="1057"/>
    </row>
    <row r="50" spans="1:15" s="2" customFormat="1" ht="16.5" customHeight="1" x14ac:dyDescent="0.3">
      <c r="A50" s="1102" t="s">
        <v>27</v>
      </c>
      <c r="B50" s="882"/>
      <c r="C50" s="883"/>
      <c r="D50" s="884"/>
      <c r="E50" s="882"/>
      <c r="F50" s="883"/>
      <c r="G50" s="884"/>
      <c r="H50" s="882"/>
      <c r="I50" s="883"/>
      <c r="J50" s="884"/>
      <c r="K50" s="1208"/>
      <c r="L50" s="1056"/>
      <c r="M50" s="1047"/>
      <c r="N50" s="1041"/>
      <c r="O50" s="1055"/>
    </row>
    <row r="51" spans="1:15" s="2" customFormat="1" ht="16.5" customHeight="1" x14ac:dyDescent="0.3">
      <c r="A51" s="193" t="s">
        <v>28</v>
      </c>
      <c r="B51" s="90">
        <f>+essbal!B5/1000</f>
        <v>65807.134439999994</v>
      </c>
      <c r="C51" s="97">
        <f>+essbal!C5/1000</f>
        <v>0</v>
      </c>
      <c r="D51" s="93">
        <f>B51-C51</f>
        <v>65807.134439999994</v>
      </c>
      <c r="E51" s="90">
        <f>+essbal!I5/1000</f>
        <v>33004.93211999999</v>
      </c>
      <c r="F51" s="97">
        <f>essbal!I5/1000</f>
        <v>33004.93211999999</v>
      </c>
      <c r="G51" s="93">
        <f>E51-F51</f>
        <v>0</v>
      </c>
      <c r="H51" s="90">
        <f>essbal!I5/1000</f>
        <v>33004.93211999999</v>
      </c>
      <c r="I51" s="97">
        <f>essbal!I5/1000</f>
        <v>33004.93211999999</v>
      </c>
      <c r="J51" s="93">
        <f>H51-I51</f>
        <v>0</v>
      </c>
      <c r="K51" s="1208"/>
      <c r="L51" s="1056"/>
      <c r="M51" s="1047"/>
      <c r="N51" s="1041"/>
      <c r="O51" s="1055"/>
    </row>
    <row r="52" spans="1:15" s="2" customFormat="1" ht="16.5" customHeight="1" x14ac:dyDescent="0.3">
      <c r="A52" s="193" t="s">
        <v>29</v>
      </c>
      <c r="B52" s="90">
        <f t="shared" ref="B52:J52" si="5">+B48</f>
        <v>41412.40404000003</v>
      </c>
      <c r="C52" s="97">
        <f t="shared" si="5"/>
        <v>0</v>
      </c>
      <c r="D52" s="93">
        <f t="shared" si="5"/>
        <v>41412.40404000003</v>
      </c>
      <c r="E52" s="90">
        <f t="shared" si="5"/>
        <v>74214.60635999986</v>
      </c>
      <c r="F52" s="97">
        <f t="shared" si="5"/>
        <v>-18518.233930000162</v>
      </c>
      <c r="G52" s="93">
        <f t="shared" si="5"/>
        <v>91411.011479999986</v>
      </c>
      <c r="H52" s="90">
        <f t="shared" si="5"/>
        <v>-23812.360380000144</v>
      </c>
      <c r="I52" s="97">
        <f t="shared" si="5"/>
        <v>-18518.233930000162</v>
      </c>
      <c r="J52" s="93">
        <f t="shared" si="5"/>
        <v>-5294.1264500000061</v>
      </c>
      <c r="K52" s="1208"/>
      <c r="L52" s="1056"/>
      <c r="M52" s="1047"/>
      <c r="N52" s="1041"/>
      <c r="O52" s="1055"/>
    </row>
    <row r="53" spans="1:15" s="2" customFormat="1" ht="16.5" customHeight="1" thickBot="1" x14ac:dyDescent="0.35">
      <c r="A53" s="193" t="s">
        <v>80</v>
      </c>
      <c r="B53" s="1074">
        <f t="shared" ref="B53:J53" si="6">+B51+B52</f>
        <v>107219.53848000002</v>
      </c>
      <c r="C53" s="1062">
        <f t="shared" si="6"/>
        <v>0</v>
      </c>
      <c r="D53" s="1063">
        <f t="shared" si="6"/>
        <v>107219.53848000002</v>
      </c>
      <c r="E53" s="1074">
        <f t="shared" si="6"/>
        <v>107219.53847999984</v>
      </c>
      <c r="F53" s="1062">
        <f t="shared" si="6"/>
        <v>14486.698189999828</v>
      </c>
      <c r="G53" s="1063">
        <f t="shared" si="6"/>
        <v>91411.011479999986</v>
      </c>
      <c r="H53" s="1074">
        <f t="shared" si="6"/>
        <v>9192.5717399998466</v>
      </c>
      <c r="I53" s="1062">
        <f t="shared" si="6"/>
        <v>14486.698189999828</v>
      </c>
      <c r="J53" s="1063">
        <f t="shared" si="6"/>
        <v>-5294.1264500000061</v>
      </c>
      <c r="K53" s="1208"/>
      <c r="L53" s="1056"/>
      <c r="M53" s="1047"/>
      <c r="N53" s="1041"/>
      <c r="O53" s="1055"/>
    </row>
    <row r="54" spans="1:15" s="2" customFormat="1" ht="16.5" customHeight="1" x14ac:dyDescent="0.3">
      <c r="A54" s="44"/>
      <c r="B54" s="1112" t="s">
        <v>15</v>
      </c>
      <c r="C54" s="1112" t="s">
        <v>15</v>
      </c>
      <c r="D54" s="1112" t="s">
        <v>15</v>
      </c>
      <c r="E54" s="1112" t="s">
        <v>15</v>
      </c>
      <c r="F54" s="1112" t="s">
        <v>15</v>
      </c>
      <c r="G54" s="1112" t="s">
        <v>15</v>
      </c>
      <c r="H54" s="1112" t="s">
        <v>15</v>
      </c>
      <c r="I54" s="1112" t="s">
        <v>15</v>
      </c>
      <c r="J54" s="1112" t="s">
        <v>15</v>
      </c>
      <c r="K54" s="1208"/>
      <c r="L54" s="1056"/>
      <c r="M54" s="1047"/>
      <c r="N54" s="802"/>
      <c r="O54" s="1055"/>
    </row>
    <row r="55" spans="1:15" x14ac:dyDescent="0.3">
      <c r="A55" s="49" t="s">
        <v>15</v>
      </c>
      <c r="B55" s="358">
        <f>'balance sheet'!B9</f>
        <v>53159.547429999991</v>
      </c>
      <c r="C55" s="358"/>
      <c r="D55" s="358"/>
      <c r="E55" s="358">
        <f>'balance sheet'!B9</f>
        <v>53159.547429999991</v>
      </c>
      <c r="F55" s="910"/>
      <c r="G55" s="358"/>
      <c r="H55" s="910"/>
      <c r="I55" s="910"/>
      <c r="J55" s="910"/>
      <c r="K55" s="1061"/>
      <c r="L55" s="1059"/>
      <c r="M55" s="1047"/>
      <c r="N55" s="802"/>
      <c r="O55" s="1054"/>
    </row>
    <row r="56" spans="1:15" x14ac:dyDescent="0.3">
      <c r="B56" s="1077"/>
      <c r="C56" s="1077"/>
      <c r="D56" s="1077"/>
      <c r="E56" s="1126"/>
      <c r="F56" s="1077"/>
      <c r="G56" s="1077"/>
      <c r="H56" s="1077"/>
      <c r="I56" s="1077"/>
      <c r="J56" s="1077"/>
      <c r="K56" s="1061"/>
      <c r="L56" s="1059"/>
      <c r="M56" s="1047"/>
      <c r="N56" s="802"/>
      <c r="O56" s="1054"/>
    </row>
    <row r="57" spans="1:15" x14ac:dyDescent="0.3">
      <c r="B57" s="1210">
        <f>B53-B55</f>
        <v>54059.991050000026</v>
      </c>
      <c r="C57" s="1078"/>
      <c r="D57" s="1078"/>
      <c r="E57" s="1210">
        <f>E53-E55</f>
        <v>54059.991049999851</v>
      </c>
      <c r="F57" s="1079"/>
      <c r="G57" s="1078"/>
      <c r="H57" s="1079"/>
      <c r="I57" s="1079"/>
      <c r="J57" s="1079"/>
      <c r="K57" s="1061"/>
      <c r="L57" s="1059"/>
      <c r="M57" s="1047"/>
      <c r="N57" s="1060"/>
      <c r="O57" s="1054"/>
    </row>
    <row r="58" spans="1:15" x14ac:dyDescent="0.3">
      <c r="B58" s="1210">
        <f>+'balance sheet'!B50</f>
        <v>-54059.991049999924</v>
      </c>
      <c r="C58" s="1078"/>
      <c r="D58" s="1078"/>
      <c r="E58" s="1210">
        <f>+'balance sheet'!E50</f>
        <v>-54059.991049999924</v>
      </c>
      <c r="F58" s="1078"/>
      <c r="G58" s="1078"/>
      <c r="H58" s="1078"/>
      <c r="I58" s="1078"/>
      <c r="J58" s="1078"/>
      <c r="K58" s="1061"/>
      <c r="L58" s="1059"/>
      <c r="M58" s="1054"/>
      <c r="N58" s="1054"/>
      <c r="O58" s="1054"/>
    </row>
    <row r="59" spans="1:15" x14ac:dyDescent="0.3">
      <c r="B59" s="1209">
        <f>SUM(B57:B58)</f>
        <v>1.0186340659856796E-10</v>
      </c>
      <c r="C59" s="1081"/>
      <c r="D59" s="1082"/>
      <c r="E59" s="1209">
        <f>SUM(E57:E58)</f>
        <v>-7.2759576141834259E-11</v>
      </c>
      <c r="F59" s="1082"/>
      <c r="G59" s="1082"/>
      <c r="H59" s="1080"/>
      <c r="I59" s="1082"/>
      <c r="J59" s="1082"/>
      <c r="K59" s="1054"/>
      <c r="L59" s="1054"/>
      <c r="M59" s="1054"/>
      <c r="N59" s="1054"/>
      <c r="O59" s="1054"/>
    </row>
    <row r="60" spans="1:15" x14ac:dyDescent="0.3">
      <c r="C60" s="1007"/>
      <c r="D60" s="1008"/>
      <c r="E60" s="1011"/>
      <c r="F60" s="1007"/>
      <c r="K60" s="1054"/>
      <c r="L60" s="1054"/>
      <c r="M60" s="1054"/>
      <c r="N60" s="1054"/>
      <c r="O60" s="1054"/>
    </row>
    <row r="61" spans="1:15" x14ac:dyDescent="0.3">
      <c r="A61" s="361"/>
      <c r="B61" s="358"/>
      <c r="C61" s="1007"/>
      <c r="D61" s="1009"/>
      <c r="E61" s="1011">
        <f>-B59+E59</f>
        <v>-1.7462298274040222E-10</v>
      </c>
      <c r="F61" s="1007"/>
      <c r="L61" s="1054"/>
      <c r="M61" s="1054"/>
      <c r="N61" s="1054"/>
      <c r="O61" s="1054"/>
    </row>
    <row r="62" spans="1:15" x14ac:dyDescent="0.3">
      <c r="A62" s="361"/>
      <c r="B62" s="358"/>
      <c r="C62" s="1010"/>
      <c r="D62" s="1011"/>
      <c r="E62" s="1011"/>
      <c r="F62" s="1007"/>
      <c r="L62" s="1054"/>
      <c r="M62" s="1054"/>
      <c r="N62" s="1054"/>
      <c r="O62" s="1054"/>
    </row>
    <row r="63" spans="1:15" x14ac:dyDescent="0.3">
      <c r="A63" s="361"/>
      <c r="B63" s="362"/>
      <c r="C63" s="1007"/>
      <c r="D63" s="1011"/>
      <c r="E63" s="1011"/>
      <c r="F63" s="1007"/>
      <c r="L63" s="1054"/>
      <c r="M63" s="1054"/>
      <c r="N63" s="1054"/>
      <c r="O63" s="1054"/>
    </row>
    <row r="64" spans="1:15" x14ac:dyDescent="0.3">
      <c r="C64" s="1007"/>
      <c r="D64" s="1011"/>
      <c r="E64" s="1011"/>
      <c r="F64" s="1007"/>
      <c r="L64" s="1054"/>
      <c r="M64" s="1054"/>
      <c r="N64" s="1054"/>
      <c r="O64" s="1054"/>
    </row>
    <row r="65" spans="2:15" x14ac:dyDescent="0.3">
      <c r="C65" s="1007"/>
      <c r="D65" s="1007"/>
      <c r="E65" s="1011"/>
      <c r="F65" s="1007"/>
      <c r="L65" s="1054"/>
      <c r="M65" s="1054"/>
      <c r="N65" s="1054"/>
      <c r="O65" s="1054"/>
    </row>
    <row r="66" spans="2:15" x14ac:dyDescent="0.3">
      <c r="C66" s="1007"/>
      <c r="D66" s="1007"/>
      <c r="E66" s="1011"/>
      <c r="F66" s="1007"/>
      <c r="L66" s="1054"/>
      <c r="M66" s="1054"/>
      <c r="N66" s="1054"/>
      <c r="O66" s="1054"/>
    </row>
    <row r="67" spans="2:15" x14ac:dyDescent="0.3">
      <c r="B67" s="1"/>
      <c r="C67" s="1012"/>
      <c r="D67" s="1013"/>
      <c r="E67" s="1127"/>
      <c r="F67" s="1014"/>
      <c r="G67" s="1"/>
      <c r="H67" s="1"/>
      <c r="I67" s="1"/>
      <c r="J67" s="1"/>
      <c r="L67" s="1054"/>
      <c r="M67" s="1054"/>
      <c r="N67" s="1054"/>
      <c r="O67" s="1054"/>
    </row>
    <row r="68" spans="2:15" x14ac:dyDescent="0.3">
      <c r="B68" s="1"/>
      <c r="C68" s="1012"/>
      <c r="D68" s="1013"/>
      <c r="E68" s="1127"/>
      <c r="F68" s="1014"/>
      <c r="G68" s="1"/>
      <c r="H68" s="1"/>
      <c r="I68" s="1"/>
      <c r="J68" s="1"/>
      <c r="L68" s="1054"/>
      <c r="M68" s="1054"/>
      <c r="N68" s="1054"/>
      <c r="O68" s="1054"/>
    </row>
    <row r="69" spans="2:15" x14ac:dyDescent="0.3">
      <c r="B69" s="1"/>
      <c r="C69" s="1012"/>
      <c r="D69" s="1015"/>
      <c r="E69" s="1127"/>
      <c r="F69" s="1014"/>
      <c r="G69" s="1"/>
      <c r="H69" s="1"/>
      <c r="I69" s="1"/>
      <c r="J69" s="1"/>
      <c r="L69" s="1054"/>
      <c r="M69" s="1054"/>
      <c r="N69" s="1054"/>
      <c r="O69" s="1054"/>
    </row>
    <row r="70" spans="2:15" x14ac:dyDescent="0.3">
      <c r="B70" s="1"/>
      <c r="C70" s="1012"/>
      <c r="D70" s="1013"/>
      <c r="E70" s="1127"/>
      <c r="F70" s="1014"/>
      <c r="G70" s="1"/>
      <c r="H70" s="1"/>
      <c r="I70" s="1"/>
      <c r="J70" s="1"/>
      <c r="L70" s="1054"/>
      <c r="M70" s="1054"/>
      <c r="N70" s="1054"/>
      <c r="O70" s="1054"/>
    </row>
    <row r="71" spans="2:15" x14ac:dyDescent="0.3">
      <c r="B71" s="1"/>
      <c r="C71" s="1012"/>
      <c r="D71" s="1015"/>
      <c r="E71" s="1127"/>
      <c r="F71" s="1014"/>
      <c r="G71" s="1"/>
      <c r="H71" s="1"/>
      <c r="I71" s="1"/>
      <c r="J71" s="1"/>
      <c r="L71" s="1054"/>
      <c r="M71" s="1054"/>
      <c r="N71" s="1054"/>
      <c r="O71" s="1054"/>
    </row>
    <row r="72" spans="2:15" x14ac:dyDescent="0.3">
      <c r="B72" s="1"/>
      <c r="C72" s="1016"/>
      <c r="D72" s="1017"/>
      <c r="E72" s="1128"/>
      <c r="F72" s="1014"/>
      <c r="G72" s="1"/>
      <c r="H72" s="1"/>
      <c r="I72" s="1"/>
      <c r="J72" s="1"/>
      <c r="L72" s="1054"/>
      <c r="M72" s="1054"/>
      <c r="N72" s="1054"/>
      <c r="O72" s="1054"/>
    </row>
    <row r="73" spans="2:15" x14ac:dyDescent="0.3">
      <c r="C73" s="1007"/>
      <c r="D73" s="1007"/>
      <c r="E73" s="1011"/>
      <c r="F73" s="1007"/>
      <c r="L73" s="1054"/>
      <c r="M73" s="1054"/>
      <c r="N73" s="1054"/>
      <c r="O73" s="1054"/>
    </row>
    <row r="74" spans="2:15" x14ac:dyDescent="0.3">
      <c r="B74" s="1"/>
      <c r="C74" s="1007"/>
      <c r="D74" s="1007"/>
      <c r="E74" s="1011"/>
      <c r="F74" s="1014"/>
      <c r="G74" s="1"/>
      <c r="H74" s="1"/>
      <c r="I74" s="1"/>
      <c r="J74" s="1"/>
      <c r="L74" s="1054"/>
      <c r="M74" s="1054"/>
      <c r="N74" s="1054"/>
      <c r="O74" s="1054"/>
    </row>
    <row r="75" spans="2:15" x14ac:dyDescent="0.3">
      <c r="B75" s="1"/>
      <c r="C75" s="1007"/>
      <c r="D75" s="1007"/>
      <c r="E75" s="1011"/>
      <c r="F75" s="1014"/>
      <c r="G75" s="1"/>
      <c r="H75" s="1"/>
      <c r="I75" s="1"/>
      <c r="J75" s="1"/>
    </row>
    <row r="76" spans="2:15" x14ac:dyDescent="0.3">
      <c r="B76" s="1"/>
      <c r="C76" s="1007"/>
      <c r="D76" s="1007"/>
      <c r="E76" s="1011"/>
      <c r="F76" s="1014"/>
      <c r="G76" s="1"/>
      <c r="H76" s="1"/>
      <c r="I76" s="1"/>
      <c r="J76" s="1"/>
    </row>
  </sheetData>
  <mergeCells count="7">
    <mergeCell ref="B7:D7"/>
    <mergeCell ref="E7:G7"/>
    <mergeCell ref="A1:J1"/>
    <mergeCell ref="A2:J2"/>
    <mergeCell ref="A3:J3"/>
    <mergeCell ref="B6:C6"/>
    <mergeCell ref="E6:F6"/>
  </mergeCells>
  <printOptions horizontalCentered="1"/>
  <pageMargins left="0.5" right="0.5" top="0.5" bottom="0.5" header="0.5" footer="0.25"/>
  <pageSetup scale="60" orientation="landscape" r:id="rId1"/>
  <headerFooter alignWithMargins="0">
    <oddFooter>&amp;L&amp;F&amp;RCONFIDENTIAL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8"/>
  <sheetViews>
    <sheetView zoomScaleNormal="100" workbookViewId="0">
      <selection activeCell="K27" sqref="K27"/>
    </sheetView>
  </sheetViews>
  <sheetFormatPr defaultColWidth="9.109375" defaultRowHeight="13.8" x14ac:dyDescent="0.3"/>
  <cols>
    <col min="1" max="1" width="11.5546875" style="108" customWidth="1"/>
    <col min="2" max="2" width="15.6640625" style="108" bestFit="1" customWidth="1"/>
    <col min="3" max="3" width="11.44140625" style="108" customWidth="1"/>
    <col min="4" max="4" width="14" style="108" customWidth="1"/>
    <col min="5" max="5" width="14.109375" style="108" customWidth="1"/>
    <col min="6" max="6" width="14.88671875" style="108" customWidth="1"/>
    <col min="7" max="7" width="11" style="108" bestFit="1" customWidth="1"/>
    <col min="8" max="8" width="11" style="108" customWidth="1"/>
    <col min="9" max="9" width="11.88671875" style="108" customWidth="1"/>
    <col min="10" max="10" width="11.109375" style="108" customWidth="1"/>
    <col min="11" max="11" width="12" style="108" bestFit="1" customWidth="1"/>
    <col min="12" max="13" width="12" style="108" customWidth="1"/>
    <col min="14" max="14" width="10.109375" style="108" customWidth="1"/>
    <col min="15" max="15" width="10" style="108" bestFit="1" customWidth="1"/>
    <col min="16" max="16" width="10.5546875" style="108" bestFit="1" customWidth="1"/>
    <col min="17" max="17" width="10.5546875" style="108" customWidth="1"/>
    <col min="18" max="18" width="11.5546875" style="108" bestFit="1" customWidth="1"/>
    <col min="19" max="19" width="10.33203125" style="108" bestFit="1" customWidth="1"/>
    <col min="20" max="20" width="7" style="108" customWidth="1"/>
    <col min="21" max="21" width="10.5546875" style="108" bestFit="1" customWidth="1"/>
    <col min="22" max="22" width="10.5546875" style="108" customWidth="1"/>
    <col min="23" max="25" width="9.33203125" style="108" bestFit="1" customWidth="1"/>
    <col min="26" max="26" width="11" style="108" bestFit="1" customWidth="1"/>
    <col min="27" max="27" width="12" style="108" customWidth="1"/>
    <col min="28" max="16384" width="9.109375" style="108"/>
  </cols>
  <sheetData>
    <row r="1" spans="1:8" ht="55.2" x14ac:dyDescent="0.3">
      <c r="A1" s="201" t="s">
        <v>224</v>
      </c>
      <c r="B1" s="201" t="s">
        <v>225</v>
      </c>
      <c r="C1" s="201" t="s">
        <v>227</v>
      </c>
      <c r="D1" s="201" t="s">
        <v>226</v>
      </c>
      <c r="E1" s="201" t="s">
        <v>228</v>
      </c>
      <c r="G1" s="201" t="s">
        <v>233</v>
      </c>
      <c r="H1" s="201"/>
    </row>
    <row r="2" spans="1:8" x14ac:dyDescent="0.3">
      <c r="A2" s="217">
        <v>40546</v>
      </c>
      <c r="B2" s="217">
        <v>40555</v>
      </c>
      <c r="C2" s="287">
        <v>250000</v>
      </c>
      <c r="D2" s="226">
        <v>0.99199999999999999</v>
      </c>
      <c r="E2" s="218">
        <f>C2*D2</f>
        <v>248000</v>
      </c>
      <c r="F2" s="108" t="s">
        <v>232</v>
      </c>
      <c r="G2" s="227">
        <v>0.98640000000000005</v>
      </c>
      <c r="H2" s="227"/>
    </row>
    <row r="3" spans="1:8" x14ac:dyDescent="0.3">
      <c r="A3" s="217">
        <v>40546</v>
      </c>
      <c r="B3" s="217">
        <v>40574</v>
      </c>
      <c r="C3" s="287">
        <v>500000</v>
      </c>
      <c r="D3" s="226">
        <v>0.99990000000000001</v>
      </c>
      <c r="E3" s="218">
        <f>C3*D3</f>
        <v>499950</v>
      </c>
      <c r="F3" s="108" t="s">
        <v>141</v>
      </c>
      <c r="G3" s="230">
        <v>1.022</v>
      </c>
      <c r="H3" s="230"/>
    </row>
    <row r="4" spans="1:8" x14ac:dyDescent="0.3">
      <c r="A4" s="217">
        <v>40546</v>
      </c>
      <c r="B4" s="217">
        <v>40578</v>
      </c>
      <c r="C4" s="287">
        <v>600000</v>
      </c>
      <c r="D4" s="202">
        <v>0.99260000000000004</v>
      </c>
      <c r="E4" s="218">
        <v>595560</v>
      </c>
      <c r="F4" s="108" t="s">
        <v>232</v>
      </c>
      <c r="G4" s="227">
        <v>0.99009999999999998</v>
      </c>
      <c r="H4" s="227"/>
    </row>
    <row r="5" spans="1:8" x14ac:dyDescent="0.3">
      <c r="A5" s="217">
        <v>40547</v>
      </c>
      <c r="B5" s="217">
        <v>40578</v>
      </c>
      <c r="C5" s="287">
        <v>150000</v>
      </c>
      <c r="D5" s="202">
        <v>0.99990000000000001</v>
      </c>
      <c r="E5" s="218">
        <v>149985</v>
      </c>
      <c r="F5" s="108" t="s">
        <v>141</v>
      </c>
      <c r="G5" s="227">
        <v>0.99009999999999998</v>
      </c>
      <c r="H5" s="227"/>
    </row>
    <row r="6" spans="1:8" x14ac:dyDescent="0.3">
      <c r="A6" s="217">
        <v>40550</v>
      </c>
      <c r="B6" s="217">
        <v>40581</v>
      </c>
      <c r="C6" s="287">
        <v>425000</v>
      </c>
      <c r="D6" s="226">
        <v>0.996</v>
      </c>
      <c r="E6" s="218">
        <v>423300</v>
      </c>
      <c r="F6" s="108" t="s">
        <v>231</v>
      </c>
      <c r="G6" s="227">
        <v>0.98860000000000003</v>
      </c>
      <c r="H6" s="227"/>
    </row>
    <row r="7" spans="1:8" s="288" customFormat="1" x14ac:dyDescent="0.3">
      <c r="A7" s="217">
        <v>40546</v>
      </c>
      <c r="B7" s="217">
        <v>40606</v>
      </c>
      <c r="C7" s="287">
        <v>300000</v>
      </c>
      <c r="D7" s="202">
        <v>0.99309999999999998</v>
      </c>
      <c r="E7" s="218">
        <v>297930</v>
      </c>
      <c r="F7" s="108" t="s">
        <v>232</v>
      </c>
      <c r="G7" s="227">
        <v>0.97140000000000004</v>
      </c>
      <c r="H7" s="227"/>
    </row>
    <row r="8" spans="1:8" s="288" customFormat="1" x14ac:dyDescent="0.3">
      <c r="A8" s="217">
        <v>40581</v>
      </c>
      <c r="B8" s="217">
        <v>40603</v>
      </c>
      <c r="C8" s="287">
        <v>30000</v>
      </c>
      <c r="D8" s="202">
        <v>0.99519999999999997</v>
      </c>
      <c r="E8" s="218">
        <v>29856</v>
      </c>
      <c r="F8" s="108" t="s">
        <v>231</v>
      </c>
      <c r="G8" s="227">
        <v>0.97430000000000005</v>
      </c>
      <c r="H8" s="227"/>
    </row>
    <row r="9" spans="1:8" s="288" customFormat="1" x14ac:dyDescent="0.3">
      <c r="A9" s="217">
        <v>40581</v>
      </c>
      <c r="B9" s="217">
        <v>40634</v>
      </c>
      <c r="C9" s="287">
        <v>30000</v>
      </c>
      <c r="D9" s="202">
        <v>0.99519999999999997</v>
      </c>
      <c r="E9" s="218">
        <v>29856</v>
      </c>
      <c r="F9" s="108" t="s">
        <v>231</v>
      </c>
      <c r="G9" s="227">
        <v>0.96289999999999998</v>
      </c>
      <c r="H9" s="227"/>
    </row>
    <row r="10" spans="1:8" s="288" customFormat="1" x14ac:dyDescent="0.3">
      <c r="A10" s="217">
        <v>40546</v>
      </c>
      <c r="B10" s="217">
        <v>40637</v>
      </c>
      <c r="C10" s="287">
        <v>1000000</v>
      </c>
      <c r="D10" s="202">
        <v>0.99409999999999998</v>
      </c>
      <c r="E10" s="218">
        <v>994100</v>
      </c>
      <c r="F10" s="108" t="s">
        <v>156</v>
      </c>
      <c r="G10" s="227">
        <v>0.96789999999999998</v>
      </c>
      <c r="H10" s="227"/>
    </row>
    <row r="11" spans="1:8" s="288" customFormat="1" x14ac:dyDescent="0.3">
      <c r="A11" s="217">
        <v>40550</v>
      </c>
      <c r="B11" s="217">
        <v>40640</v>
      </c>
      <c r="C11" s="287">
        <v>50000</v>
      </c>
      <c r="D11" s="202">
        <v>0.99650000000000005</v>
      </c>
      <c r="E11" s="218">
        <v>49825</v>
      </c>
      <c r="F11" s="108" t="s">
        <v>141</v>
      </c>
      <c r="G11" s="227">
        <v>0.95930000000000004</v>
      </c>
      <c r="H11" s="227"/>
    </row>
    <row r="12" spans="1:8" s="288" customFormat="1" x14ac:dyDescent="0.3">
      <c r="A12" s="217">
        <v>40581</v>
      </c>
      <c r="B12" s="217">
        <v>40665</v>
      </c>
      <c r="C12" s="287">
        <v>30000</v>
      </c>
      <c r="D12" s="202">
        <v>0.99519999999999997</v>
      </c>
      <c r="E12" s="218">
        <v>29856</v>
      </c>
      <c r="F12" s="108" t="s">
        <v>231</v>
      </c>
      <c r="G12" s="227">
        <v>0.94920000000000004</v>
      </c>
      <c r="H12" s="227"/>
    </row>
    <row r="13" spans="1:8" s="288" customFormat="1" x14ac:dyDescent="0.3">
      <c r="A13" s="217">
        <v>40546</v>
      </c>
      <c r="B13" s="217">
        <v>40668</v>
      </c>
      <c r="C13" s="287">
        <v>225000</v>
      </c>
      <c r="D13" s="202">
        <v>0.99509999999999998</v>
      </c>
      <c r="E13" s="218">
        <v>223897.5</v>
      </c>
      <c r="F13" s="108" t="s">
        <v>156</v>
      </c>
      <c r="G13" s="227">
        <v>0.96689999999999998</v>
      </c>
      <c r="H13" s="227"/>
    </row>
    <row r="14" spans="1:8" s="288" customFormat="1" x14ac:dyDescent="0.3">
      <c r="A14" s="217">
        <v>40581</v>
      </c>
      <c r="B14" s="217">
        <v>40695</v>
      </c>
      <c r="C14" s="287">
        <v>30000</v>
      </c>
      <c r="D14" s="202">
        <v>0.99519999999999997</v>
      </c>
      <c r="E14" s="218">
        <v>29856</v>
      </c>
      <c r="F14" s="108" t="s">
        <v>231</v>
      </c>
      <c r="G14" s="227">
        <v>0.97140000000000004</v>
      </c>
      <c r="H14" s="227"/>
    </row>
    <row r="15" spans="1:8" s="288" customFormat="1" x14ac:dyDescent="0.3">
      <c r="A15" s="217">
        <v>40546</v>
      </c>
      <c r="B15" s="217">
        <v>40697</v>
      </c>
      <c r="C15" s="287">
        <v>100000</v>
      </c>
      <c r="D15" s="202">
        <v>0.99639999999999995</v>
      </c>
      <c r="E15" s="218">
        <v>99640</v>
      </c>
      <c r="F15" s="108" t="s">
        <v>156</v>
      </c>
      <c r="G15" s="230">
        <v>0.97699999999999998</v>
      </c>
      <c r="H15" s="230"/>
    </row>
    <row r="16" spans="1:8" s="288" customFormat="1" x14ac:dyDescent="0.3">
      <c r="A16" s="217">
        <v>40546</v>
      </c>
      <c r="B16" s="217">
        <v>40729</v>
      </c>
      <c r="C16" s="287">
        <v>1000000</v>
      </c>
      <c r="D16" s="202">
        <v>0.99709999999999999</v>
      </c>
      <c r="E16" s="218">
        <v>997100</v>
      </c>
      <c r="F16" s="108" t="s">
        <v>156</v>
      </c>
      <c r="G16" s="227">
        <v>0.96079999999999999</v>
      </c>
      <c r="H16" s="227"/>
    </row>
    <row r="17" spans="1:8" s="288" customFormat="1" x14ac:dyDescent="0.3">
      <c r="A17" s="217">
        <v>40581</v>
      </c>
      <c r="B17" s="217">
        <v>40729</v>
      </c>
      <c r="C17" s="287">
        <v>30000</v>
      </c>
      <c r="D17" s="202">
        <v>0.99519999999999997</v>
      </c>
      <c r="E17" s="218">
        <v>29856</v>
      </c>
      <c r="F17" s="108" t="s">
        <v>231</v>
      </c>
      <c r="G17" s="227">
        <v>0.96079999999999999</v>
      </c>
      <c r="H17" s="227"/>
    </row>
    <row r="18" spans="1:8" x14ac:dyDescent="0.3">
      <c r="A18" s="217">
        <v>40581</v>
      </c>
      <c r="B18" s="217">
        <v>40757</v>
      </c>
      <c r="C18" s="287">
        <v>30000</v>
      </c>
      <c r="D18" s="202">
        <v>0.99519999999999997</v>
      </c>
      <c r="E18" s="218">
        <v>29856</v>
      </c>
      <c r="F18" s="108" t="s">
        <v>231</v>
      </c>
      <c r="G18" s="230">
        <v>0.95799999999999996</v>
      </c>
      <c r="H18" s="227"/>
    </row>
    <row r="19" spans="1:8" x14ac:dyDescent="0.3">
      <c r="A19" s="217">
        <v>40749</v>
      </c>
      <c r="B19" s="217">
        <v>40757</v>
      </c>
      <c r="C19" s="287">
        <v>575000</v>
      </c>
      <c r="D19" s="202">
        <v>0.94750000000000001</v>
      </c>
      <c r="E19" s="218">
        <v>544812.5</v>
      </c>
      <c r="F19" s="108" t="s">
        <v>255</v>
      </c>
      <c r="G19" s="230">
        <v>0.95799999999999996</v>
      </c>
      <c r="H19" s="227"/>
    </row>
    <row r="20" spans="1:8" x14ac:dyDescent="0.3">
      <c r="A20" s="219">
        <v>40546</v>
      </c>
      <c r="B20" s="219">
        <v>40759</v>
      </c>
      <c r="C20" s="287">
        <v>100000</v>
      </c>
      <c r="D20" s="202">
        <v>0.99839999999999995</v>
      </c>
      <c r="E20" s="218">
        <v>99840</v>
      </c>
      <c r="F20" s="108" t="s">
        <v>156</v>
      </c>
      <c r="G20" s="227">
        <v>0.97670000000000001</v>
      </c>
      <c r="H20" s="228"/>
    </row>
    <row r="21" spans="1:8" x14ac:dyDescent="0.3">
      <c r="A21" s="219">
        <v>40581</v>
      </c>
      <c r="B21" s="219">
        <v>40787</v>
      </c>
      <c r="C21" s="287">
        <v>30000</v>
      </c>
      <c r="D21" s="202">
        <v>0.99519999999999997</v>
      </c>
      <c r="E21" s="218">
        <v>29856</v>
      </c>
      <c r="F21" s="108" t="s">
        <v>231</v>
      </c>
      <c r="G21" s="227">
        <v>0.97519999999999996</v>
      </c>
      <c r="H21" s="228"/>
    </row>
    <row r="22" spans="1:8" x14ac:dyDescent="0.3">
      <c r="A22" s="219">
        <v>40749</v>
      </c>
      <c r="B22" s="219">
        <v>40787</v>
      </c>
      <c r="C22" s="287">
        <v>375000</v>
      </c>
      <c r="D22" s="202">
        <v>0.94830000000000003</v>
      </c>
      <c r="E22" s="218">
        <v>355612.5</v>
      </c>
      <c r="F22" s="108" t="s">
        <v>255</v>
      </c>
      <c r="G22" s="227">
        <v>0.97519999999999996</v>
      </c>
      <c r="H22" s="228"/>
    </row>
    <row r="23" spans="1:8" x14ac:dyDescent="0.3">
      <c r="A23" s="219">
        <v>40546</v>
      </c>
      <c r="B23" s="219">
        <v>40788</v>
      </c>
      <c r="C23" s="287">
        <v>100000</v>
      </c>
      <c r="D23" s="202">
        <v>0.99960000000000004</v>
      </c>
      <c r="E23" s="218">
        <v>99960</v>
      </c>
      <c r="F23" s="108" t="s">
        <v>156</v>
      </c>
      <c r="G23" s="227">
        <v>0.98150000000000004</v>
      </c>
      <c r="H23" s="228"/>
    </row>
    <row r="24" spans="1:8" x14ac:dyDescent="0.3">
      <c r="A24" s="219">
        <v>40581</v>
      </c>
      <c r="B24" s="219">
        <v>40819</v>
      </c>
      <c r="C24" s="287">
        <v>30000</v>
      </c>
      <c r="D24" s="202">
        <v>0.99519999999999997</v>
      </c>
      <c r="E24" s="218">
        <v>29856</v>
      </c>
      <c r="F24" s="108" t="s">
        <v>231</v>
      </c>
      <c r="G24" s="345">
        <v>1.044</v>
      </c>
      <c r="H24" s="228"/>
    </row>
    <row r="25" spans="1:8" x14ac:dyDescent="0.3">
      <c r="A25" s="219">
        <v>40749</v>
      </c>
      <c r="B25" s="219">
        <v>40819</v>
      </c>
      <c r="C25" s="287">
        <v>250000</v>
      </c>
      <c r="D25" s="202">
        <v>0.94920000000000004</v>
      </c>
      <c r="E25" s="218">
        <v>237300</v>
      </c>
      <c r="F25" s="108" t="s">
        <v>255</v>
      </c>
      <c r="G25" s="345">
        <v>1.044</v>
      </c>
      <c r="H25" s="228"/>
    </row>
    <row r="26" spans="1:8" x14ac:dyDescent="0.3">
      <c r="A26" s="219">
        <v>40546</v>
      </c>
      <c r="B26" s="219">
        <v>40820</v>
      </c>
      <c r="C26" s="287">
        <v>1000000</v>
      </c>
      <c r="D26" s="202">
        <v>0.99990000000000001</v>
      </c>
      <c r="E26" s="218">
        <v>999900</v>
      </c>
      <c r="F26" s="108" t="s">
        <v>156</v>
      </c>
      <c r="G26" s="345">
        <v>1.0604</v>
      </c>
      <c r="H26" s="228"/>
    </row>
    <row r="27" spans="1:8" x14ac:dyDescent="0.3">
      <c r="A27" s="219">
        <v>40581</v>
      </c>
      <c r="B27" s="219">
        <v>40848</v>
      </c>
      <c r="C27" s="287">
        <v>30000</v>
      </c>
      <c r="D27" s="202">
        <v>0.99519999999999997</v>
      </c>
      <c r="E27" s="218">
        <v>29856</v>
      </c>
      <c r="F27" s="108" t="s">
        <v>231</v>
      </c>
      <c r="G27" s="345">
        <v>1.0198</v>
      </c>
      <c r="H27" s="228"/>
    </row>
    <row r="28" spans="1:8" x14ac:dyDescent="0.3">
      <c r="A28" s="219">
        <v>40749</v>
      </c>
      <c r="B28" s="219">
        <v>40848</v>
      </c>
      <c r="C28" s="287">
        <v>50000</v>
      </c>
      <c r="D28" s="202">
        <v>0.94969999999999999</v>
      </c>
      <c r="E28" s="218">
        <v>47485</v>
      </c>
      <c r="F28" s="108" t="s">
        <v>255</v>
      </c>
      <c r="G28" s="345">
        <v>1.0198</v>
      </c>
      <c r="H28" s="228"/>
    </row>
    <row r="29" spans="1:8" x14ac:dyDescent="0.3">
      <c r="A29" s="219">
        <v>40555</v>
      </c>
      <c r="B29" s="219">
        <v>40854</v>
      </c>
      <c r="C29" s="287">
        <v>100000</v>
      </c>
      <c r="D29" s="202">
        <v>0.99970000000000003</v>
      </c>
      <c r="E29" s="218">
        <v>99970</v>
      </c>
      <c r="F29" s="108" t="s">
        <v>156</v>
      </c>
      <c r="G29" s="345">
        <v>1.0172000000000001</v>
      </c>
      <c r="H29" s="228"/>
    </row>
    <row r="30" spans="1:8" x14ac:dyDescent="0.3">
      <c r="A30" s="219">
        <v>40581</v>
      </c>
      <c r="B30" s="219">
        <v>40878</v>
      </c>
      <c r="C30" s="287">
        <v>30000</v>
      </c>
      <c r="D30" s="202">
        <v>0.99519999999999997</v>
      </c>
      <c r="E30" s="218">
        <v>29856</v>
      </c>
      <c r="F30" s="108" t="s">
        <v>231</v>
      </c>
      <c r="G30" s="345">
        <v>1.0174000000000001</v>
      </c>
      <c r="H30" s="228"/>
    </row>
    <row r="31" spans="1:8" x14ac:dyDescent="0.3">
      <c r="A31" s="219">
        <v>40749</v>
      </c>
      <c r="B31" s="219">
        <v>40878</v>
      </c>
      <c r="C31" s="287">
        <v>50000</v>
      </c>
      <c r="D31" s="202">
        <v>0.94850000000000001</v>
      </c>
      <c r="E31" s="218">
        <v>47425</v>
      </c>
      <c r="F31" s="108" t="s">
        <v>255</v>
      </c>
      <c r="G31" s="345">
        <v>1.0174000000000001</v>
      </c>
      <c r="H31" s="228"/>
    </row>
    <row r="32" spans="1:8" x14ac:dyDescent="0.3">
      <c r="A32" s="219">
        <v>40555</v>
      </c>
      <c r="B32" s="219">
        <v>40884</v>
      </c>
      <c r="C32" s="287">
        <v>100000</v>
      </c>
      <c r="D32" s="203">
        <v>0.99970000000000003</v>
      </c>
      <c r="E32" s="218">
        <v>99970</v>
      </c>
      <c r="F32" s="108" t="s">
        <v>156</v>
      </c>
      <c r="G32" s="355">
        <v>1.0105</v>
      </c>
      <c r="H32" s="229"/>
    </row>
    <row r="33" spans="1:31" x14ac:dyDescent="0.3">
      <c r="A33" s="204" t="s">
        <v>229</v>
      </c>
      <c r="B33" s="205"/>
      <c r="C33" s="220">
        <f>SUM(C2:C32)</f>
        <v>7600000</v>
      </c>
      <c r="D33" s="205"/>
      <c r="E33" s="220">
        <f>SUM(E2:E32)</f>
        <v>7510122.5</v>
      </c>
    </row>
    <row r="34" spans="1:31" x14ac:dyDescent="0.3">
      <c r="G34" s="110"/>
      <c r="H34" s="110"/>
      <c r="M34" s="120"/>
    </row>
    <row r="35" spans="1:31" x14ac:dyDescent="0.3">
      <c r="A35" s="317">
        <v>40749</v>
      </c>
      <c r="B35" s="317">
        <v>40911</v>
      </c>
      <c r="C35" s="318">
        <v>25000</v>
      </c>
      <c r="D35" s="319">
        <v>0.94940000000000002</v>
      </c>
      <c r="E35" s="318">
        <v>23735</v>
      </c>
      <c r="F35" s="110" t="s">
        <v>231</v>
      </c>
      <c r="G35" s="320"/>
      <c r="H35" s="320"/>
    </row>
    <row r="36" spans="1:31" ht="14.4" thickBot="1" x14ac:dyDescent="0.35">
      <c r="G36" s="110"/>
      <c r="H36" s="110"/>
    </row>
    <row r="37" spans="1:31" ht="14.4" thickBot="1" x14ac:dyDescent="0.35">
      <c r="A37" s="221">
        <v>2011</v>
      </c>
      <c r="U37" s="252" t="s">
        <v>230</v>
      </c>
      <c r="V37" s="253" t="s">
        <v>231</v>
      </c>
      <c r="W37" s="1265" t="s">
        <v>156</v>
      </c>
      <c r="X37" s="1266"/>
      <c r="Y37" s="1266"/>
      <c r="Z37" s="1266"/>
      <c r="AA37" s="1267"/>
    </row>
    <row r="38" spans="1:31" ht="27.6" x14ac:dyDescent="0.3">
      <c r="A38" s="206" t="s">
        <v>214</v>
      </c>
      <c r="B38" s="281" t="s">
        <v>141</v>
      </c>
      <c r="C38" s="281" t="s">
        <v>231</v>
      </c>
      <c r="D38" s="281" t="s">
        <v>142</v>
      </c>
      <c r="E38" s="281" t="s">
        <v>143</v>
      </c>
      <c r="F38" s="281" t="s">
        <v>144</v>
      </c>
      <c r="G38" s="281" t="s">
        <v>145</v>
      </c>
      <c r="H38" s="314" t="s">
        <v>256</v>
      </c>
      <c r="I38" s="207" t="s">
        <v>146</v>
      </c>
      <c r="J38" s="206" t="s">
        <v>214</v>
      </c>
      <c r="K38" s="281" t="s">
        <v>141</v>
      </c>
      <c r="L38" s="281" t="s">
        <v>231</v>
      </c>
      <c r="M38" s="281" t="s">
        <v>142</v>
      </c>
      <c r="N38" s="281" t="s">
        <v>143</v>
      </c>
      <c r="O38" s="281" t="s">
        <v>144</v>
      </c>
      <c r="P38" s="281" t="s">
        <v>145</v>
      </c>
      <c r="Q38" s="314" t="s">
        <v>256</v>
      </c>
      <c r="R38" s="207" t="s">
        <v>146</v>
      </c>
      <c r="S38" s="208" t="s">
        <v>254</v>
      </c>
      <c r="T38" s="237" t="s">
        <v>214</v>
      </c>
      <c r="U38" s="282" t="s">
        <v>141</v>
      </c>
      <c r="V38" s="283" t="s">
        <v>231</v>
      </c>
      <c r="W38" s="348" t="s">
        <v>142</v>
      </c>
      <c r="X38" s="349" t="s">
        <v>143</v>
      </c>
      <c r="Y38" s="349" t="s">
        <v>144</v>
      </c>
      <c r="Z38" s="350" t="s">
        <v>145</v>
      </c>
      <c r="AA38" s="351" t="s">
        <v>256</v>
      </c>
      <c r="AB38" s="270" t="s">
        <v>146</v>
      </c>
      <c r="AC38" s="273" t="s">
        <v>156</v>
      </c>
      <c r="AD38" s="274" t="s">
        <v>230</v>
      </c>
      <c r="AE38" s="275" t="s">
        <v>231</v>
      </c>
    </row>
    <row r="39" spans="1:31" x14ac:dyDescent="0.3">
      <c r="A39" s="209" t="s">
        <v>221</v>
      </c>
      <c r="B39" s="210">
        <v>575000</v>
      </c>
      <c r="C39" s="210"/>
      <c r="D39" s="210">
        <v>100000</v>
      </c>
      <c r="E39" s="210"/>
      <c r="F39" s="210">
        <v>75000</v>
      </c>
      <c r="G39" s="210"/>
      <c r="H39" s="210"/>
      <c r="I39" s="211">
        <f>SUM(B39:H39)</f>
        <v>750000</v>
      </c>
      <c r="J39" s="209" t="s">
        <v>221</v>
      </c>
      <c r="K39" s="231">
        <f>(500000*G3)+(75000*G2)</f>
        <v>584980</v>
      </c>
      <c r="L39" s="231"/>
      <c r="M39" s="231">
        <f>D39*G2</f>
        <v>98640</v>
      </c>
      <c r="N39" s="231"/>
      <c r="O39" s="231">
        <f>F39*G2</f>
        <v>73980</v>
      </c>
      <c r="P39" s="231"/>
      <c r="Q39" s="231"/>
      <c r="R39" s="211">
        <f>SUM(K39:Q39)</f>
        <v>757600</v>
      </c>
      <c r="S39" s="234">
        <f>I39-R39</f>
        <v>-7600</v>
      </c>
      <c r="T39" s="238" t="s">
        <v>221</v>
      </c>
      <c r="U39" s="247">
        <f t="shared" ref="U39:U44" si="0">B39-K39</f>
        <v>-9980</v>
      </c>
      <c r="V39" s="248"/>
      <c r="W39" s="250">
        <f t="shared" ref="W39:W46" si="1">D39-M39</f>
        <v>1360</v>
      </c>
      <c r="X39" s="231"/>
      <c r="Y39" s="231">
        <f>F39-O39</f>
        <v>1020</v>
      </c>
      <c r="Z39" s="347">
        <f>G39-P39</f>
        <v>0</v>
      </c>
      <c r="AA39" s="251">
        <f>H39-Q39</f>
        <v>0</v>
      </c>
      <c r="AB39" s="271">
        <f>SUM(U39:AA39)</f>
        <v>-7600</v>
      </c>
      <c r="AC39" s="277">
        <f t="shared" ref="AC39:AC46" si="2">SUM(W39:AA39)</f>
        <v>2380</v>
      </c>
      <c r="AD39" s="272">
        <f>U39</f>
        <v>-9980</v>
      </c>
      <c r="AE39" s="276">
        <f>V39</f>
        <v>0</v>
      </c>
    </row>
    <row r="40" spans="1:31" x14ac:dyDescent="0.3">
      <c r="A40" s="209" t="s">
        <v>222</v>
      </c>
      <c r="B40" s="210">
        <v>650000</v>
      </c>
      <c r="C40" s="210">
        <v>425000</v>
      </c>
      <c r="D40" s="210">
        <v>100000</v>
      </c>
      <c r="E40" s="210"/>
      <c r="F40" s="210"/>
      <c r="G40" s="210"/>
      <c r="H40" s="210"/>
      <c r="I40" s="211">
        <f t="shared" ref="I40:I50" si="3">SUM(B40:H40)</f>
        <v>1175000</v>
      </c>
      <c r="J40" s="209" t="s">
        <v>222</v>
      </c>
      <c r="K40" s="231">
        <f>(500000*G4)+(150000*G5)</f>
        <v>643565</v>
      </c>
      <c r="L40" s="231">
        <f>C40*G6</f>
        <v>420155</v>
      </c>
      <c r="M40" s="231">
        <f>D40*G4</f>
        <v>99010</v>
      </c>
      <c r="N40" s="231"/>
      <c r="O40" s="231"/>
      <c r="P40" s="231"/>
      <c r="Q40" s="231"/>
      <c r="R40" s="211">
        <f t="shared" ref="R40:R50" si="4">SUM(K40:Q40)</f>
        <v>1162730</v>
      </c>
      <c r="S40" s="223">
        <f>I40-R40</f>
        <v>12270</v>
      </c>
      <c r="T40" s="238" t="s">
        <v>222</v>
      </c>
      <c r="U40" s="289">
        <f t="shared" si="0"/>
        <v>6435</v>
      </c>
      <c r="V40" s="290">
        <f t="shared" ref="V40:V46" si="5">C40-L40</f>
        <v>4845</v>
      </c>
      <c r="W40" s="291">
        <f t="shared" si="1"/>
        <v>990</v>
      </c>
      <c r="X40" s="292"/>
      <c r="Y40" s="292"/>
      <c r="Z40" s="347">
        <f t="shared" ref="Z40:Z46" si="6">G40-P40</f>
        <v>0</v>
      </c>
      <c r="AA40" s="251">
        <f t="shared" ref="AA40:AA48" si="7">H40-Q40</f>
        <v>0</v>
      </c>
      <c r="AB40" s="271">
        <f t="shared" ref="AB40:AB48" si="8">SUM(U40:AA40)</f>
        <v>12270</v>
      </c>
      <c r="AC40" s="277">
        <f t="shared" si="2"/>
        <v>990</v>
      </c>
      <c r="AD40" s="268">
        <f>U40</f>
        <v>6435</v>
      </c>
      <c r="AE40" s="293">
        <f>V40</f>
        <v>4845</v>
      </c>
    </row>
    <row r="41" spans="1:31" x14ac:dyDescent="0.3">
      <c r="A41" s="209" t="s">
        <v>223</v>
      </c>
      <c r="B41" s="210">
        <v>200000</v>
      </c>
      <c r="C41" s="210">
        <v>30000</v>
      </c>
      <c r="D41" s="210">
        <v>100000</v>
      </c>
      <c r="E41" s="210"/>
      <c r="F41" s="210"/>
      <c r="G41" s="210"/>
      <c r="H41" s="210"/>
      <c r="I41" s="211">
        <f t="shared" si="3"/>
        <v>330000</v>
      </c>
      <c r="J41" s="209" t="s">
        <v>223</v>
      </c>
      <c r="K41" s="231">
        <f>B41*G7</f>
        <v>194280</v>
      </c>
      <c r="L41" s="231">
        <f>C41*G8</f>
        <v>29229</v>
      </c>
      <c r="M41" s="231">
        <f>D41*G7</f>
        <v>97140</v>
      </c>
      <c r="N41" s="231"/>
      <c r="O41" s="231"/>
      <c r="P41" s="231"/>
      <c r="Q41" s="231"/>
      <c r="R41" s="211">
        <f t="shared" si="4"/>
        <v>320649</v>
      </c>
      <c r="S41" s="223">
        <f>I41-R41</f>
        <v>9351</v>
      </c>
      <c r="T41" s="238" t="s">
        <v>223</v>
      </c>
      <c r="U41" s="289">
        <f t="shared" si="0"/>
        <v>5720</v>
      </c>
      <c r="V41" s="290">
        <f t="shared" si="5"/>
        <v>771</v>
      </c>
      <c r="W41" s="250">
        <f t="shared" si="1"/>
        <v>2860</v>
      </c>
      <c r="X41" s="231"/>
      <c r="Y41" s="231">
        <f t="shared" ref="Y41:Y50" si="9">F41-O41</f>
        <v>0</v>
      </c>
      <c r="Z41" s="347">
        <f t="shared" si="6"/>
        <v>0</v>
      </c>
      <c r="AA41" s="251">
        <f t="shared" si="7"/>
        <v>0</v>
      </c>
      <c r="AB41" s="271">
        <f t="shared" si="8"/>
        <v>9351</v>
      </c>
      <c r="AC41" s="277">
        <f t="shared" si="2"/>
        <v>2860</v>
      </c>
      <c r="AD41" s="268">
        <f t="shared" ref="AD41:AD48" si="10">U41</f>
        <v>5720</v>
      </c>
      <c r="AE41" s="293">
        <f t="shared" ref="AE41:AE48" si="11">V41</f>
        <v>771</v>
      </c>
    </row>
    <row r="42" spans="1:31" x14ac:dyDescent="0.3">
      <c r="A42" s="212" t="s">
        <v>147</v>
      </c>
      <c r="B42" s="210">
        <v>50000</v>
      </c>
      <c r="C42" s="210">
        <v>30000</v>
      </c>
      <c r="D42" s="210">
        <v>100000</v>
      </c>
      <c r="E42" s="213"/>
      <c r="F42" s="215">
        <v>75000</v>
      </c>
      <c r="G42" s="285">
        <v>825000</v>
      </c>
      <c r="H42" s="285"/>
      <c r="I42" s="211">
        <f t="shared" si="3"/>
        <v>1080000</v>
      </c>
      <c r="J42" s="212" t="s">
        <v>147</v>
      </c>
      <c r="K42" s="232">
        <f>B42*G11</f>
        <v>47965</v>
      </c>
      <c r="L42" s="232">
        <f>C42*G9</f>
        <v>28887</v>
      </c>
      <c r="M42" s="232">
        <f>D42*G10</f>
        <v>96790</v>
      </c>
      <c r="N42" s="233"/>
      <c r="O42" s="125">
        <f>F42*G10</f>
        <v>72592.5</v>
      </c>
      <c r="P42" s="233">
        <f>G42*G10</f>
        <v>798517.5</v>
      </c>
      <c r="Q42" s="233"/>
      <c r="R42" s="211">
        <f t="shared" si="4"/>
        <v>1044752</v>
      </c>
      <c r="S42" s="223">
        <f>I42-R42</f>
        <v>35248</v>
      </c>
      <c r="T42" s="239" t="s">
        <v>147</v>
      </c>
      <c r="U42" s="289">
        <f t="shared" si="0"/>
        <v>2035</v>
      </c>
      <c r="V42" s="290">
        <f t="shared" si="5"/>
        <v>1113</v>
      </c>
      <c r="W42" s="250">
        <f t="shared" si="1"/>
        <v>3210</v>
      </c>
      <c r="X42" s="231"/>
      <c r="Y42" s="231">
        <f t="shared" si="9"/>
        <v>2407.5</v>
      </c>
      <c r="Z42" s="347">
        <f t="shared" si="6"/>
        <v>26482.5</v>
      </c>
      <c r="AA42" s="251">
        <f t="shared" si="7"/>
        <v>0</v>
      </c>
      <c r="AB42" s="271">
        <f t="shared" si="8"/>
        <v>35248</v>
      </c>
      <c r="AC42" s="277">
        <f t="shared" si="2"/>
        <v>32100</v>
      </c>
      <c r="AD42" s="268">
        <f t="shared" si="10"/>
        <v>2035</v>
      </c>
      <c r="AE42" s="293">
        <f t="shared" si="11"/>
        <v>1113</v>
      </c>
    </row>
    <row r="43" spans="1:31" x14ac:dyDescent="0.3">
      <c r="A43" s="212" t="s">
        <v>68</v>
      </c>
      <c r="B43" s="210"/>
      <c r="C43" s="210">
        <v>30000</v>
      </c>
      <c r="D43" s="210">
        <v>100000</v>
      </c>
      <c r="E43" s="222">
        <v>125000</v>
      </c>
      <c r="F43" s="215"/>
      <c r="G43" s="214"/>
      <c r="H43" s="214"/>
      <c r="I43" s="211">
        <f t="shared" si="3"/>
        <v>255000</v>
      </c>
      <c r="J43" s="212" t="s">
        <v>68</v>
      </c>
      <c r="K43" s="232"/>
      <c r="L43" s="232">
        <f>C43*G12</f>
        <v>28476</v>
      </c>
      <c r="M43" s="232">
        <f>D43*G13</f>
        <v>96690</v>
      </c>
      <c r="N43" s="125">
        <f>E43*G13</f>
        <v>120862.5</v>
      </c>
      <c r="O43" s="232"/>
      <c r="P43" s="233"/>
      <c r="Q43" s="233"/>
      <c r="R43" s="211">
        <f t="shared" si="4"/>
        <v>246028.5</v>
      </c>
      <c r="S43" s="223">
        <f>I43-R43</f>
        <v>8971.5</v>
      </c>
      <c r="T43" s="239" t="s">
        <v>68</v>
      </c>
      <c r="U43" s="289">
        <f>B43-K43</f>
        <v>0</v>
      </c>
      <c r="V43" s="290">
        <f>C43-L43</f>
        <v>1524</v>
      </c>
      <c r="W43" s="250">
        <f>D43-M43</f>
        <v>3310</v>
      </c>
      <c r="X43" s="231">
        <f>E43-N43</f>
        <v>4137.5</v>
      </c>
      <c r="Y43" s="231">
        <f t="shared" si="9"/>
        <v>0</v>
      </c>
      <c r="Z43" s="347">
        <f>G43-P43</f>
        <v>0</v>
      </c>
      <c r="AA43" s="251">
        <f>H43-Q43</f>
        <v>0</v>
      </c>
      <c r="AB43" s="271">
        <f>SUM(U43:AA43)</f>
        <v>8971.5</v>
      </c>
      <c r="AC43" s="277">
        <f t="shared" si="2"/>
        <v>7447.5</v>
      </c>
      <c r="AD43" s="268">
        <f t="shared" si="10"/>
        <v>0</v>
      </c>
      <c r="AE43" s="293">
        <f t="shared" si="11"/>
        <v>1524</v>
      </c>
    </row>
    <row r="44" spans="1:31" x14ac:dyDescent="0.3">
      <c r="A44" s="212" t="s">
        <v>148</v>
      </c>
      <c r="B44" s="210"/>
      <c r="C44" s="210">
        <v>30000</v>
      </c>
      <c r="D44" s="210">
        <v>100000</v>
      </c>
      <c r="E44" s="214"/>
      <c r="F44" s="214"/>
      <c r="G44" s="214"/>
      <c r="H44" s="214"/>
      <c r="I44" s="211">
        <f t="shared" si="3"/>
        <v>130000</v>
      </c>
      <c r="J44" s="212" t="s">
        <v>148</v>
      </c>
      <c r="K44" s="232"/>
      <c r="L44" s="232">
        <f>C44*G14</f>
        <v>29142</v>
      </c>
      <c r="M44" s="232">
        <f>D44*G15</f>
        <v>97700</v>
      </c>
      <c r="N44" s="233"/>
      <c r="O44" s="233"/>
      <c r="P44" s="233"/>
      <c r="Q44" s="233"/>
      <c r="R44" s="211">
        <f t="shared" si="4"/>
        <v>126842</v>
      </c>
      <c r="S44" s="223">
        <f t="shared" ref="S44:S49" si="12">I44-R44</f>
        <v>3158</v>
      </c>
      <c r="T44" s="239" t="s">
        <v>148</v>
      </c>
      <c r="U44" s="289">
        <f t="shared" si="0"/>
        <v>0</v>
      </c>
      <c r="V44" s="290">
        <f t="shared" si="5"/>
        <v>858</v>
      </c>
      <c r="W44" s="250">
        <f t="shared" si="1"/>
        <v>2300</v>
      </c>
      <c r="X44" s="231"/>
      <c r="Y44" s="231">
        <f t="shared" si="9"/>
        <v>0</v>
      </c>
      <c r="Z44" s="347">
        <f t="shared" si="6"/>
        <v>0</v>
      </c>
      <c r="AA44" s="251">
        <f t="shared" si="7"/>
        <v>0</v>
      </c>
      <c r="AB44" s="271">
        <f t="shared" si="8"/>
        <v>3158</v>
      </c>
      <c r="AC44" s="277">
        <f t="shared" si="2"/>
        <v>2300</v>
      </c>
      <c r="AD44" s="268">
        <f t="shared" si="10"/>
        <v>0</v>
      </c>
      <c r="AE44" s="293">
        <f t="shared" si="11"/>
        <v>858</v>
      </c>
    </row>
    <row r="45" spans="1:31" x14ac:dyDescent="0.3">
      <c r="A45" s="212" t="s">
        <v>149</v>
      </c>
      <c r="B45" s="210"/>
      <c r="C45" s="210">
        <v>30000</v>
      </c>
      <c r="D45" s="210">
        <v>100000</v>
      </c>
      <c r="E45" s="214"/>
      <c r="F45" s="210">
        <v>75000</v>
      </c>
      <c r="G45" s="210">
        <v>825000</v>
      </c>
      <c r="H45" s="210"/>
      <c r="I45" s="211">
        <f t="shared" si="3"/>
        <v>1030000</v>
      </c>
      <c r="J45" s="212" t="s">
        <v>149</v>
      </c>
      <c r="K45" s="232"/>
      <c r="L45" s="232">
        <f>C45*G17</f>
        <v>28824</v>
      </c>
      <c r="M45" s="232">
        <f>D45*G16</f>
        <v>96080</v>
      </c>
      <c r="N45" s="233"/>
      <c r="O45" s="232">
        <f>F45*G16</f>
        <v>72060</v>
      </c>
      <c r="P45" s="232">
        <f>G45*G16</f>
        <v>792660</v>
      </c>
      <c r="Q45" s="232"/>
      <c r="R45" s="211">
        <f t="shared" si="4"/>
        <v>989624</v>
      </c>
      <c r="S45" s="223">
        <f t="shared" si="12"/>
        <v>40376</v>
      </c>
      <c r="T45" s="239" t="s">
        <v>149</v>
      </c>
      <c r="U45" s="289">
        <f t="shared" ref="U45:U50" si="13">B45-K45</f>
        <v>0</v>
      </c>
      <c r="V45" s="290">
        <f t="shared" si="5"/>
        <v>1176</v>
      </c>
      <c r="W45" s="250">
        <f t="shared" si="1"/>
        <v>3920</v>
      </c>
      <c r="X45" s="231"/>
      <c r="Y45" s="231">
        <f t="shared" si="9"/>
        <v>2940</v>
      </c>
      <c r="Z45" s="347">
        <f t="shared" si="6"/>
        <v>32340</v>
      </c>
      <c r="AA45" s="251">
        <f t="shared" si="7"/>
        <v>0</v>
      </c>
      <c r="AB45" s="271">
        <f t="shared" si="8"/>
        <v>40376</v>
      </c>
      <c r="AC45" s="277">
        <f t="shared" si="2"/>
        <v>39200</v>
      </c>
      <c r="AD45" s="268">
        <f t="shared" si="10"/>
        <v>0</v>
      </c>
      <c r="AE45" s="293">
        <f t="shared" si="11"/>
        <v>1176</v>
      </c>
    </row>
    <row r="46" spans="1:31" x14ac:dyDescent="0.3">
      <c r="A46" s="212" t="s">
        <v>150</v>
      </c>
      <c r="B46" s="210">
        <v>450000</v>
      </c>
      <c r="C46" s="210">
        <f>30000+125000</f>
        <v>155000</v>
      </c>
      <c r="D46" s="210">
        <f>100000</f>
        <v>100000</v>
      </c>
      <c r="E46" s="214"/>
      <c r="F46" s="214"/>
      <c r="G46" s="214"/>
      <c r="H46" s="214"/>
      <c r="I46" s="211">
        <f t="shared" si="3"/>
        <v>705000</v>
      </c>
      <c r="J46" s="212" t="s">
        <v>150</v>
      </c>
      <c r="K46" s="232">
        <f>B46*G19</f>
        <v>431100</v>
      </c>
      <c r="L46" s="232">
        <f>(30000*G18)+(125000*G19)</f>
        <v>148490</v>
      </c>
      <c r="M46" s="232">
        <f>D46*G20</f>
        <v>97670</v>
      </c>
      <c r="N46" s="233"/>
      <c r="O46" s="233"/>
      <c r="P46" s="233"/>
      <c r="Q46" s="233"/>
      <c r="R46" s="211">
        <f t="shared" si="4"/>
        <v>677260</v>
      </c>
      <c r="S46" s="223">
        <f t="shared" si="12"/>
        <v>27740</v>
      </c>
      <c r="T46" s="239" t="s">
        <v>150</v>
      </c>
      <c r="U46" s="289">
        <f t="shared" si="13"/>
        <v>18900</v>
      </c>
      <c r="V46" s="290">
        <f t="shared" si="5"/>
        <v>6510</v>
      </c>
      <c r="W46" s="250">
        <f t="shared" si="1"/>
        <v>2330</v>
      </c>
      <c r="X46" s="231"/>
      <c r="Y46" s="231">
        <f t="shared" si="9"/>
        <v>0</v>
      </c>
      <c r="Z46" s="347">
        <f t="shared" si="6"/>
        <v>0</v>
      </c>
      <c r="AA46" s="251">
        <f t="shared" si="7"/>
        <v>0</v>
      </c>
      <c r="AB46" s="271">
        <f t="shared" si="8"/>
        <v>27740</v>
      </c>
      <c r="AC46" s="277">
        <f t="shared" si="2"/>
        <v>2330</v>
      </c>
      <c r="AD46" s="268">
        <f t="shared" si="10"/>
        <v>18900</v>
      </c>
      <c r="AE46" s="293">
        <f t="shared" si="11"/>
        <v>6510</v>
      </c>
    </row>
    <row r="47" spans="1:31" x14ac:dyDescent="0.3">
      <c r="A47" s="212" t="s">
        <v>151</v>
      </c>
      <c r="B47" s="210">
        <v>225000</v>
      </c>
      <c r="C47" s="210">
        <f>30000+126000</f>
        <v>156000</v>
      </c>
      <c r="D47" s="210">
        <f>100000</f>
        <v>100000</v>
      </c>
      <c r="E47" s="214"/>
      <c r="F47" s="214"/>
      <c r="G47" s="214"/>
      <c r="H47" s="210">
        <v>24000</v>
      </c>
      <c r="I47" s="211">
        <f t="shared" si="3"/>
        <v>505000</v>
      </c>
      <c r="J47" s="212" t="s">
        <v>151</v>
      </c>
      <c r="K47" s="232">
        <f>B47*G22</f>
        <v>219420</v>
      </c>
      <c r="L47" s="232">
        <f>C47*G21</f>
        <v>152131.19999999998</v>
      </c>
      <c r="M47" s="232">
        <f>D47*G23</f>
        <v>98150</v>
      </c>
      <c r="N47" s="233"/>
      <c r="O47" s="233"/>
      <c r="P47" s="233"/>
      <c r="Q47" s="233">
        <f>H47*G22</f>
        <v>23404.799999999999</v>
      </c>
      <c r="R47" s="211">
        <f t="shared" si="4"/>
        <v>493105.99999999994</v>
      </c>
      <c r="S47" s="223">
        <f t="shared" si="12"/>
        <v>11894.000000000058</v>
      </c>
      <c r="T47" s="239" t="s">
        <v>151</v>
      </c>
      <c r="U47" s="289">
        <f t="shared" si="13"/>
        <v>5580</v>
      </c>
      <c r="V47" s="290">
        <f t="shared" ref="V47:W50" si="14">C47-L47</f>
        <v>3868.8000000000175</v>
      </c>
      <c r="W47" s="250">
        <f t="shared" si="14"/>
        <v>1850</v>
      </c>
      <c r="X47" s="231"/>
      <c r="Y47" s="231">
        <f t="shared" si="9"/>
        <v>0</v>
      </c>
      <c r="Z47" s="347">
        <f>G47-P47</f>
        <v>0</v>
      </c>
      <c r="AA47" s="251">
        <f t="shared" si="7"/>
        <v>595.20000000000073</v>
      </c>
      <c r="AB47" s="271">
        <f t="shared" si="8"/>
        <v>11894.000000000018</v>
      </c>
      <c r="AC47" s="277">
        <f>SUM(W47:AA47)</f>
        <v>2445.2000000000007</v>
      </c>
      <c r="AD47" s="268">
        <f t="shared" si="10"/>
        <v>5580</v>
      </c>
      <c r="AE47" s="293">
        <f t="shared" si="11"/>
        <v>3868.8000000000175</v>
      </c>
    </row>
    <row r="48" spans="1:31" x14ac:dyDescent="0.3">
      <c r="A48" s="212" t="s">
        <v>152</v>
      </c>
      <c r="B48" s="210">
        <v>100000</v>
      </c>
      <c r="C48" s="210">
        <f>30000+126000</f>
        <v>156000</v>
      </c>
      <c r="D48" s="210">
        <f>100000</f>
        <v>100000</v>
      </c>
      <c r="E48" s="214"/>
      <c r="F48" s="210">
        <v>75000</v>
      </c>
      <c r="G48" s="210">
        <v>825000</v>
      </c>
      <c r="H48" s="210">
        <v>24000</v>
      </c>
      <c r="I48" s="211">
        <f t="shared" si="3"/>
        <v>1280000</v>
      </c>
      <c r="J48" s="212" t="s">
        <v>152</v>
      </c>
      <c r="K48" s="234">
        <f>B48*G25</f>
        <v>104400</v>
      </c>
      <c r="L48" s="234">
        <f>C48*G24</f>
        <v>162864</v>
      </c>
      <c r="M48" s="234">
        <f>D48*G26</f>
        <v>106040</v>
      </c>
      <c r="N48" s="231"/>
      <c r="O48" s="234">
        <f>F48*G26</f>
        <v>79530</v>
      </c>
      <c r="P48" s="234">
        <f>G48*G26</f>
        <v>874830</v>
      </c>
      <c r="Q48" s="234">
        <f>H48*G25</f>
        <v>25056</v>
      </c>
      <c r="R48" s="211">
        <f t="shared" si="4"/>
        <v>1352720</v>
      </c>
      <c r="S48" s="223">
        <f t="shared" si="12"/>
        <v>-72720</v>
      </c>
      <c r="T48" s="239" t="s">
        <v>152</v>
      </c>
      <c r="U48" s="289">
        <f t="shared" si="13"/>
        <v>-4400</v>
      </c>
      <c r="V48" s="290">
        <f t="shared" si="14"/>
        <v>-6864</v>
      </c>
      <c r="W48" s="250">
        <f t="shared" si="14"/>
        <v>-6040</v>
      </c>
      <c r="X48" s="231"/>
      <c r="Y48" s="231">
        <f t="shared" si="9"/>
        <v>-4530</v>
      </c>
      <c r="Z48" s="347">
        <f>G48-P48</f>
        <v>-49830</v>
      </c>
      <c r="AA48" s="251">
        <f t="shared" si="7"/>
        <v>-1056</v>
      </c>
      <c r="AB48" s="271">
        <f t="shared" si="8"/>
        <v>-72720</v>
      </c>
      <c r="AC48" s="277">
        <f>SUM(W48:AA48)</f>
        <v>-61456</v>
      </c>
      <c r="AD48" s="268">
        <f t="shared" si="10"/>
        <v>-4400</v>
      </c>
      <c r="AE48" s="293">
        <f t="shared" si="11"/>
        <v>-6864</v>
      </c>
    </row>
    <row r="49" spans="1:31" s="133" customFormat="1" x14ac:dyDescent="0.3">
      <c r="A49" s="212" t="s">
        <v>153</v>
      </c>
      <c r="B49" s="210"/>
      <c r="C49" s="210">
        <f>30000+26000</f>
        <v>56000</v>
      </c>
      <c r="D49" s="210">
        <v>100000</v>
      </c>
      <c r="E49" s="214"/>
      <c r="F49" s="210"/>
      <c r="G49" s="210"/>
      <c r="H49" s="210">
        <v>24000</v>
      </c>
      <c r="I49" s="211">
        <f t="shared" si="3"/>
        <v>180000</v>
      </c>
      <c r="J49" s="212" t="s">
        <v>153</v>
      </c>
      <c r="K49" s="234"/>
      <c r="L49" s="234">
        <f>(30000*G27)+(26000*G28)</f>
        <v>57108.800000000003</v>
      </c>
      <c r="M49" s="234">
        <f>D49*G29</f>
        <v>101720.00000000001</v>
      </c>
      <c r="N49" s="231"/>
      <c r="O49" s="234"/>
      <c r="P49" s="234"/>
      <c r="Q49" s="234">
        <f>H49*G28</f>
        <v>24475.200000000001</v>
      </c>
      <c r="R49" s="211">
        <f t="shared" si="4"/>
        <v>183304.00000000003</v>
      </c>
      <c r="S49" s="223">
        <f t="shared" si="12"/>
        <v>-3304.0000000000291</v>
      </c>
      <c r="T49" s="239" t="s">
        <v>153</v>
      </c>
      <c r="U49" s="289">
        <f t="shared" si="13"/>
        <v>0</v>
      </c>
      <c r="V49" s="290">
        <f t="shared" si="14"/>
        <v>-1108.8000000000029</v>
      </c>
      <c r="W49" s="250">
        <f t="shared" si="14"/>
        <v>-1720.0000000000146</v>
      </c>
      <c r="X49" s="231"/>
      <c r="Y49" s="231">
        <f t="shared" si="9"/>
        <v>0</v>
      </c>
      <c r="Z49" s="347">
        <f>G49-P49</f>
        <v>0</v>
      </c>
      <c r="AA49" s="251">
        <f>H49-Q49</f>
        <v>-475.20000000000073</v>
      </c>
      <c r="AB49" s="271">
        <f>SUM(U49:AA49)</f>
        <v>-3304.0000000000182</v>
      </c>
      <c r="AC49" s="277">
        <f>SUM(W49:AA49)</f>
        <v>-2195.2000000000153</v>
      </c>
      <c r="AD49" s="268">
        <f>U49</f>
        <v>0</v>
      </c>
      <c r="AE49" s="293">
        <f>V49</f>
        <v>-1108.8000000000029</v>
      </c>
    </row>
    <row r="50" spans="1:31" ht="14.4" thickBot="1" x14ac:dyDescent="0.35">
      <c r="A50" s="216" t="s">
        <v>219</v>
      </c>
      <c r="B50" s="244"/>
      <c r="C50" s="244">
        <f>30000+26000</f>
        <v>56000</v>
      </c>
      <c r="D50" s="244">
        <v>100000</v>
      </c>
      <c r="E50" s="286"/>
      <c r="F50" s="244"/>
      <c r="G50" s="244"/>
      <c r="H50" s="244">
        <v>24000</v>
      </c>
      <c r="I50" s="315">
        <f t="shared" si="3"/>
        <v>180000</v>
      </c>
      <c r="J50" s="216" t="s">
        <v>219</v>
      </c>
      <c r="K50" s="235"/>
      <c r="L50" s="235">
        <f>C50*G30</f>
        <v>56974.400000000001</v>
      </c>
      <c r="M50" s="235">
        <f>D50*G32</f>
        <v>101050</v>
      </c>
      <c r="N50" s="236"/>
      <c r="O50" s="235"/>
      <c r="P50" s="235"/>
      <c r="Q50" s="235">
        <f>H50*G31</f>
        <v>24417.600000000002</v>
      </c>
      <c r="R50" s="211">
        <f t="shared" si="4"/>
        <v>182442</v>
      </c>
      <c r="S50" s="243">
        <f>I50-R50</f>
        <v>-2442</v>
      </c>
      <c r="T50" s="240" t="s">
        <v>219</v>
      </c>
      <c r="U50" s="289">
        <f t="shared" si="13"/>
        <v>0</v>
      </c>
      <c r="V50" s="290">
        <f t="shared" si="14"/>
        <v>-974.40000000000146</v>
      </c>
      <c r="W50" s="250">
        <f t="shared" si="14"/>
        <v>-1050</v>
      </c>
      <c r="X50" s="231"/>
      <c r="Y50" s="231">
        <f t="shared" si="9"/>
        <v>0</v>
      </c>
      <c r="Z50" s="347">
        <f>G50-P50</f>
        <v>0</v>
      </c>
      <c r="AA50" s="251">
        <f>H50-Q50</f>
        <v>-417.60000000000218</v>
      </c>
      <c r="AB50" s="271">
        <f>SUM(U50:AA50)</f>
        <v>-2442.0000000000036</v>
      </c>
      <c r="AC50" s="277">
        <f>SUM(W50:AA50)</f>
        <v>-1467.6000000000022</v>
      </c>
      <c r="AD50" s="268">
        <f>U50</f>
        <v>0</v>
      </c>
      <c r="AE50" s="293">
        <f>V50</f>
        <v>-974.40000000000146</v>
      </c>
    </row>
    <row r="51" spans="1:31" s="115" customFormat="1" ht="14.4" thickBot="1" x14ac:dyDescent="0.35">
      <c r="A51" s="216" t="s">
        <v>154</v>
      </c>
      <c r="B51" s="279">
        <f t="shared" ref="B51:I51" si="15">SUM(B39:B50)</f>
        <v>2250000</v>
      </c>
      <c r="C51" s="316">
        <f t="shared" si="15"/>
        <v>1154000</v>
      </c>
      <c r="D51" s="279">
        <f t="shared" si="15"/>
        <v>1200000</v>
      </c>
      <c r="E51" s="279">
        <f t="shared" si="15"/>
        <v>125000</v>
      </c>
      <c r="F51" s="279">
        <f t="shared" si="15"/>
        <v>300000</v>
      </c>
      <c r="G51" s="279">
        <f t="shared" si="15"/>
        <v>2475000</v>
      </c>
      <c r="H51" s="279"/>
      <c r="I51" s="280">
        <f t="shared" si="15"/>
        <v>7600000</v>
      </c>
      <c r="J51" s="216"/>
      <c r="K51" s="279">
        <f t="shared" ref="K51:S51" si="16">SUM(K39:K50)</f>
        <v>2225710</v>
      </c>
      <c r="L51" s="279">
        <f t="shared" si="16"/>
        <v>1142281.3999999999</v>
      </c>
      <c r="M51" s="279">
        <f t="shared" si="16"/>
        <v>1186680</v>
      </c>
      <c r="N51" s="279">
        <f t="shared" si="16"/>
        <v>120862.5</v>
      </c>
      <c r="O51" s="279">
        <f t="shared" si="16"/>
        <v>298162.5</v>
      </c>
      <c r="P51" s="279">
        <f t="shared" si="16"/>
        <v>2466007.5</v>
      </c>
      <c r="Q51" s="279">
        <f t="shared" si="16"/>
        <v>97353.600000000006</v>
      </c>
      <c r="R51" s="280">
        <f t="shared" si="16"/>
        <v>7537057.5</v>
      </c>
      <c r="S51" s="279">
        <f t="shared" si="16"/>
        <v>62942.500000000029</v>
      </c>
      <c r="T51" s="240"/>
      <c r="U51" s="254">
        <f>SUM(U39:U50)</f>
        <v>24290</v>
      </c>
      <c r="V51" s="255">
        <f>SUM(V39:V50)</f>
        <v>11718.600000000013</v>
      </c>
      <c r="W51" s="256">
        <f>SUM(W39:W50)</f>
        <v>13319.999999999985</v>
      </c>
      <c r="X51" s="256">
        <f>SUM(X39:X50)</f>
        <v>4137.5</v>
      </c>
      <c r="Y51" s="256">
        <f>SUM(Y39:Y50)</f>
        <v>1837.5</v>
      </c>
      <c r="Z51" s="346">
        <f>SUM(Z39:Z49)</f>
        <v>8992.5</v>
      </c>
      <c r="AA51" s="352">
        <f>SUM(AA39:AA50)</f>
        <v>-1353.6000000000022</v>
      </c>
      <c r="AB51" s="353">
        <f>SUM(AB39:AB50)</f>
        <v>62942.500000000015</v>
      </c>
      <c r="AC51" s="354">
        <f>SUM(AC39:AC50)</f>
        <v>26933.89999999998</v>
      </c>
      <c r="AD51" s="354">
        <f>SUM(AD39:AD50)</f>
        <v>24290</v>
      </c>
      <c r="AE51" s="278">
        <f>SUM(AE39:AE50)</f>
        <v>11718.600000000013</v>
      </c>
    </row>
    <row r="52" spans="1:31" ht="14.4" thickBot="1" x14ac:dyDescent="0.35">
      <c r="B52" s="242"/>
      <c r="C52" s="242"/>
      <c r="D52" s="242"/>
      <c r="E52" s="242"/>
      <c r="F52" s="242"/>
      <c r="G52" s="242"/>
      <c r="H52" s="242"/>
      <c r="I52" s="242"/>
      <c r="J52" s="133"/>
      <c r="K52" s="242"/>
      <c r="L52" s="242"/>
      <c r="M52" s="242"/>
      <c r="N52" s="242"/>
      <c r="O52" s="242"/>
      <c r="P52" s="242"/>
      <c r="Q52" s="242"/>
      <c r="R52" s="242"/>
      <c r="S52" s="242"/>
    </row>
    <row r="53" spans="1:31" x14ac:dyDescent="0.3">
      <c r="U53" s="1263" t="s">
        <v>155</v>
      </c>
      <c r="V53" s="1263" t="s">
        <v>231</v>
      </c>
      <c r="W53" s="1260" t="s">
        <v>215</v>
      </c>
      <c r="X53" s="1261"/>
      <c r="Y53" s="1262"/>
      <c r="Z53" s="284" t="s">
        <v>216</v>
      </c>
      <c r="AA53" s="284" t="s">
        <v>266</v>
      </c>
      <c r="AB53" s="241"/>
      <c r="AC53" s="241"/>
    </row>
    <row r="54" spans="1:31" x14ac:dyDescent="0.3">
      <c r="U54" s="1264"/>
      <c r="V54" s="1264"/>
      <c r="W54" s="257" t="s">
        <v>142</v>
      </c>
      <c r="X54" s="246" t="s">
        <v>143</v>
      </c>
      <c r="Y54" s="258" t="s">
        <v>144</v>
      </c>
      <c r="Z54" s="263" t="s">
        <v>145</v>
      </c>
      <c r="AA54" s="263" t="s">
        <v>267</v>
      </c>
      <c r="AB54" s="241" t="s">
        <v>146</v>
      </c>
      <c r="AC54" s="267" t="s">
        <v>156</v>
      </c>
      <c r="AD54" s="267" t="s">
        <v>230</v>
      </c>
      <c r="AE54" s="267" t="s">
        <v>231</v>
      </c>
    </row>
    <row r="55" spans="1:31" x14ac:dyDescent="0.3">
      <c r="T55" s="115" t="s">
        <v>40</v>
      </c>
      <c r="U55" s="245">
        <f t="shared" ref="U55:AA55" si="17">U50</f>
        <v>0</v>
      </c>
      <c r="V55" s="245">
        <f t="shared" si="17"/>
        <v>-974.40000000000146</v>
      </c>
      <c r="W55" s="259">
        <f t="shared" si="17"/>
        <v>-1050</v>
      </c>
      <c r="X55" s="223">
        <f t="shared" si="17"/>
        <v>0</v>
      </c>
      <c r="Y55" s="260">
        <f t="shared" si="17"/>
        <v>0</v>
      </c>
      <c r="Z55" s="265">
        <f t="shared" si="17"/>
        <v>0</v>
      </c>
      <c r="AA55" s="265">
        <f t="shared" si="17"/>
        <v>-417.60000000000218</v>
      </c>
      <c r="AB55" s="249">
        <f>SUM(U55:AA55)</f>
        <v>-2442.0000000000036</v>
      </c>
      <c r="AC55" s="268">
        <f>SUM(W55:AA55)</f>
        <v>-1467.6000000000022</v>
      </c>
      <c r="AD55" s="269">
        <f>U55</f>
        <v>0</v>
      </c>
      <c r="AE55" s="269">
        <f>V55</f>
        <v>-974.40000000000146</v>
      </c>
    </row>
    <row r="56" spans="1:31" ht="14.4" thickBot="1" x14ac:dyDescent="0.35">
      <c r="T56" s="115" t="s">
        <v>154</v>
      </c>
      <c r="U56" s="264">
        <f t="shared" ref="U56:Z56" si="18">U51</f>
        <v>24290</v>
      </c>
      <c r="V56" s="264">
        <f t="shared" si="18"/>
        <v>11718.600000000013</v>
      </c>
      <c r="W56" s="261">
        <f t="shared" si="18"/>
        <v>13319.999999999985</v>
      </c>
      <c r="X56" s="224">
        <f t="shared" si="18"/>
        <v>4137.5</v>
      </c>
      <c r="Y56" s="262">
        <f t="shared" si="18"/>
        <v>1837.5</v>
      </c>
      <c r="Z56" s="266">
        <f t="shared" si="18"/>
        <v>8992.5</v>
      </c>
      <c r="AA56" s="266">
        <f>AA51</f>
        <v>-1353.6000000000022</v>
      </c>
      <c r="AB56" s="249">
        <f>SUM(U56:AA56)</f>
        <v>62942.5</v>
      </c>
      <c r="AC56" s="268">
        <f>SUM(W56:AA56)</f>
        <v>26933.899999999983</v>
      </c>
      <c r="AD56" s="269">
        <f>U56</f>
        <v>24290</v>
      </c>
      <c r="AE56" s="269">
        <f>V56</f>
        <v>11718.600000000013</v>
      </c>
    </row>
    <row r="58" spans="1:31" x14ac:dyDescent="0.3">
      <c r="U58" s="225"/>
      <c r="V58" s="225"/>
    </row>
  </sheetData>
  <mergeCells count="4">
    <mergeCell ref="W53:Y53"/>
    <mergeCell ref="U53:U54"/>
    <mergeCell ref="V53:V54"/>
    <mergeCell ref="W37:AA37"/>
  </mergeCells>
  <pageMargins left="0.7" right="0.7" top="0.75" bottom="0.75" header="0.3" footer="0.3"/>
  <pageSetup scale="3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6"/>
  <sheetViews>
    <sheetView workbookViewId="0">
      <selection activeCell="C9" sqref="C9"/>
    </sheetView>
  </sheetViews>
  <sheetFormatPr defaultRowHeight="13.2" x14ac:dyDescent="0.25"/>
  <cols>
    <col min="1" max="1" width="24.33203125" bestFit="1" customWidth="1"/>
    <col min="2" max="2" width="28.6640625" bestFit="1" customWidth="1"/>
    <col min="3" max="3" width="13.6640625" style="48" bestFit="1" customWidth="1"/>
    <col min="4" max="4" width="10.33203125" bestFit="1" customWidth="1"/>
  </cols>
  <sheetData>
    <row r="1" spans="1:7" x14ac:dyDescent="0.25">
      <c r="A1" s="1196"/>
      <c r="C1" s="716" t="s">
        <v>500</v>
      </c>
      <c r="D1" s="716"/>
      <c r="E1" s="1199"/>
      <c r="F1" s="1198"/>
      <c r="G1" s="1198"/>
    </row>
    <row r="2" spans="1:7" x14ac:dyDescent="0.25">
      <c r="A2" s="1196"/>
      <c r="B2" s="1196"/>
      <c r="C2" s="716" t="s">
        <v>501</v>
      </c>
      <c r="D2" s="716"/>
      <c r="E2" s="1199"/>
      <c r="F2" s="1198"/>
      <c r="G2" s="1198"/>
    </row>
    <row r="3" spans="1:7" x14ac:dyDescent="0.25">
      <c r="A3" s="1196"/>
      <c r="B3" s="1196"/>
      <c r="C3" s="716" t="s">
        <v>546</v>
      </c>
      <c r="D3" s="716"/>
      <c r="E3" s="1200"/>
      <c r="F3" s="1200"/>
      <c r="G3" s="1200"/>
    </row>
    <row r="4" spans="1:7" x14ac:dyDescent="0.25">
      <c r="A4" s="1197"/>
      <c r="B4" s="1197"/>
      <c r="C4" s="716" t="s">
        <v>47</v>
      </c>
      <c r="D4" s="716"/>
      <c r="E4" s="1199"/>
      <c r="F4" s="1198"/>
      <c r="G4" s="1198"/>
    </row>
    <row r="5" spans="1:7" x14ac:dyDescent="0.25">
      <c r="A5" s="716" t="s">
        <v>503</v>
      </c>
      <c r="B5" s="1228" t="s">
        <v>539</v>
      </c>
      <c r="C5" s="1228">
        <v>290665.42999999993</v>
      </c>
      <c r="D5" s="1201"/>
      <c r="E5" s="1201"/>
      <c r="F5" s="1201"/>
      <c r="G5" s="1201"/>
    </row>
    <row r="6" spans="1:7" x14ac:dyDescent="0.25">
      <c r="A6" s="716"/>
      <c r="B6" s="716" t="s">
        <v>540</v>
      </c>
      <c r="C6" s="1228">
        <v>290665.42999999993</v>
      </c>
      <c r="D6" s="716"/>
    </row>
    <row r="7" spans="1:7" x14ac:dyDescent="0.25">
      <c r="A7" s="716" t="s">
        <v>504</v>
      </c>
      <c r="B7" s="716" t="s">
        <v>541</v>
      </c>
      <c r="C7" s="1228">
        <v>541354.44999999995</v>
      </c>
      <c r="D7" s="716"/>
    </row>
    <row r="8" spans="1:7" x14ac:dyDescent="0.25">
      <c r="A8" s="716"/>
      <c r="B8" s="716" t="s">
        <v>130</v>
      </c>
      <c r="C8" s="1228">
        <v>252959.7</v>
      </c>
      <c r="D8" s="716"/>
    </row>
    <row r="9" spans="1:7" x14ac:dyDescent="0.25">
      <c r="A9" s="716"/>
      <c r="B9" s="716" t="s">
        <v>542</v>
      </c>
      <c r="C9" s="1228">
        <v>6237519.9499999993</v>
      </c>
      <c r="D9" s="716"/>
    </row>
    <row r="10" spans="1:7" x14ac:dyDescent="0.25">
      <c r="A10" s="716"/>
      <c r="B10" s="716" t="s">
        <v>540</v>
      </c>
      <c r="C10" s="1228">
        <v>7031834.0999999996</v>
      </c>
      <c r="D10" s="716"/>
    </row>
    <row r="11" spans="1:7" x14ac:dyDescent="0.25">
      <c r="A11" s="716" t="s">
        <v>505</v>
      </c>
      <c r="B11" s="716" t="s">
        <v>543</v>
      </c>
      <c r="C11" s="1228">
        <v>-300</v>
      </c>
      <c r="D11" s="716"/>
    </row>
    <row r="12" spans="1:7" x14ac:dyDescent="0.25">
      <c r="A12" s="716"/>
      <c r="B12" s="716" t="s">
        <v>539</v>
      </c>
      <c r="C12" s="1228">
        <v>261.30999999999949</v>
      </c>
      <c r="D12" s="716"/>
      <c r="E12" s="1232"/>
    </row>
    <row r="13" spans="1:7" x14ac:dyDescent="0.25">
      <c r="A13" s="716"/>
      <c r="B13" s="716" t="s">
        <v>541</v>
      </c>
      <c r="C13" s="1228">
        <v>-3.637978807091713E-12</v>
      </c>
      <c r="D13" s="716"/>
      <c r="E13" s="1232"/>
    </row>
    <row r="14" spans="1:7" x14ac:dyDescent="0.25">
      <c r="A14" s="716"/>
      <c r="B14" s="716" t="s">
        <v>540</v>
      </c>
      <c r="C14" s="1228">
        <v>-38.690000000004147</v>
      </c>
      <c r="D14" s="716"/>
    </row>
    <row r="15" spans="1:7" x14ac:dyDescent="0.25">
      <c r="A15" s="716" t="s">
        <v>506</v>
      </c>
      <c r="B15" s="716" t="s">
        <v>543</v>
      </c>
      <c r="C15" s="1228">
        <v>-300</v>
      </c>
      <c r="D15" s="716"/>
    </row>
    <row r="16" spans="1:7" x14ac:dyDescent="0.25">
      <c r="A16" s="716"/>
      <c r="B16" s="716" t="s">
        <v>539</v>
      </c>
      <c r="C16" s="1228">
        <v>290926.73999999993</v>
      </c>
      <c r="D16" s="716"/>
    </row>
    <row r="17" spans="2:4" x14ac:dyDescent="0.25">
      <c r="B17" s="716" t="s">
        <v>541</v>
      </c>
      <c r="C17" s="1228">
        <v>541354.44999999995</v>
      </c>
      <c r="D17" s="716"/>
    </row>
    <row r="18" spans="2:4" x14ac:dyDescent="0.25">
      <c r="B18" s="716" t="s">
        <v>130</v>
      </c>
      <c r="C18" s="1228">
        <v>252959.7</v>
      </c>
      <c r="D18" s="716"/>
    </row>
    <row r="19" spans="2:4" x14ac:dyDescent="0.25">
      <c r="B19" s="716" t="s">
        <v>542</v>
      </c>
      <c r="C19" s="1228">
        <v>6237519.9499999993</v>
      </c>
      <c r="D19" s="716"/>
    </row>
    <row r="20" spans="2:4" x14ac:dyDescent="0.25">
      <c r="B20" s="716" t="s">
        <v>540</v>
      </c>
      <c r="C20" s="1228">
        <v>7322460.8399999999</v>
      </c>
      <c r="D20" s="716"/>
    </row>
    <row r="21" spans="2:4" x14ac:dyDescent="0.25">
      <c r="B21" s="716"/>
      <c r="C21" s="1228"/>
    </row>
    <row r="22" spans="2:4" x14ac:dyDescent="0.25">
      <c r="B22" s="716"/>
      <c r="C22" s="1228"/>
    </row>
    <row r="23" spans="2:4" x14ac:dyDescent="0.25">
      <c r="B23" s="716"/>
      <c r="C23" s="1228"/>
    </row>
    <row r="24" spans="2:4" x14ac:dyDescent="0.25">
      <c r="B24" s="716"/>
      <c r="C24" s="1228"/>
    </row>
    <row r="25" spans="2:4" x14ac:dyDescent="0.25">
      <c r="B25" s="716"/>
      <c r="C25" s="1228"/>
    </row>
    <row r="26" spans="2:4" x14ac:dyDescent="0.25">
      <c r="B26" s="716"/>
      <c r="C26" s="1228"/>
    </row>
    <row r="27" spans="2:4" x14ac:dyDescent="0.25">
      <c r="B27" s="716"/>
      <c r="C27" s="1228"/>
    </row>
    <row r="28" spans="2:4" x14ac:dyDescent="0.25">
      <c r="B28" s="716"/>
      <c r="C28" s="1228"/>
    </row>
    <row r="29" spans="2:4" x14ac:dyDescent="0.25">
      <c r="B29" s="716"/>
      <c r="C29" s="1228"/>
    </row>
    <row r="30" spans="2:4" x14ac:dyDescent="0.25">
      <c r="B30" s="716"/>
      <c r="C30" s="1228"/>
    </row>
    <row r="31" spans="2:4" x14ac:dyDescent="0.25">
      <c r="B31" s="716"/>
      <c r="C31" s="1228"/>
    </row>
    <row r="32" spans="2:4" x14ac:dyDescent="0.25">
      <c r="B32" s="716"/>
      <c r="C32" s="1228"/>
    </row>
    <row r="33" spans="2:3" x14ac:dyDescent="0.25">
      <c r="B33" s="716"/>
      <c r="C33" s="1228"/>
    </row>
    <row r="34" spans="2:3" x14ac:dyDescent="0.25">
      <c r="B34" s="716"/>
      <c r="C34" s="1228"/>
    </row>
    <row r="35" spans="2:3" x14ac:dyDescent="0.25">
      <c r="B35" s="716"/>
      <c r="C35" s="1228"/>
    </row>
    <row r="36" spans="2:3" x14ac:dyDescent="0.25">
      <c r="B36" s="716"/>
      <c r="C36" s="1228"/>
    </row>
    <row r="37" spans="2:3" x14ac:dyDescent="0.25">
      <c r="B37" s="716"/>
    </row>
    <row r="38" spans="2:3" x14ac:dyDescent="0.25">
      <c r="B38" s="716"/>
      <c r="C38" s="1228"/>
    </row>
    <row r="39" spans="2:3" x14ac:dyDescent="0.25">
      <c r="B39" s="716"/>
      <c r="C39" s="1228"/>
    </row>
    <row r="40" spans="2:3" x14ac:dyDescent="0.25">
      <c r="B40" s="716"/>
      <c r="C40" s="1228"/>
    </row>
    <row r="41" spans="2:3" x14ac:dyDescent="0.25">
      <c r="B41" s="716"/>
      <c r="C41" s="1228"/>
    </row>
    <row r="42" spans="2:3" x14ac:dyDescent="0.25">
      <c r="B42" s="716"/>
      <c r="C42" s="1228"/>
    </row>
    <row r="43" spans="2:3" x14ac:dyDescent="0.25">
      <c r="B43" s="716"/>
      <c r="C43" s="1228"/>
    </row>
    <row r="44" spans="2:3" x14ac:dyDescent="0.25">
      <c r="B44" s="716"/>
      <c r="C44" s="1228"/>
    </row>
    <row r="45" spans="2:3" x14ac:dyDescent="0.25">
      <c r="B45" s="716"/>
      <c r="C45" s="1228"/>
    </row>
    <row r="46" spans="2:3" x14ac:dyDescent="0.25">
      <c r="B46" s="716"/>
      <c r="C46" s="1228"/>
    </row>
    <row r="47" spans="2:3" x14ac:dyDescent="0.25">
      <c r="B47" s="716"/>
      <c r="C47" s="1228"/>
    </row>
    <row r="48" spans="2:3" x14ac:dyDescent="0.25">
      <c r="B48" s="716"/>
      <c r="C48" s="1228"/>
    </row>
    <row r="49" spans="1:3" x14ac:dyDescent="0.25">
      <c r="B49" s="716"/>
      <c r="C49" s="1228"/>
    </row>
    <row r="50" spans="1:3" x14ac:dyDescent="0.25">
      <c r="B50" s="716"/>
      <c r="C50" s="1228"/>
    </row>
    <row r="51" spans="1:3" x14ac:dyDescent="0.25">
      <c r="B51" s="716"/>
      <c r="C51" s="1228"/>
    </row>
    <row r="52" spans="1:3" x14ac:dyDescent="0.25">
      <c r="B52" s="716"/>
      <c r="C52" s="1228"/>
    </row>
    <row r="53" spans="1:3" x14ac:dyDescent="0.25">
      <c r="B53" s="716"/>
    </row>
    <row r="54" spans="1:3" x14ac:dyDescent="0.25">
      <c r="A54" s="716"/>
      <c r="B54" s="716"/>
      <c r="C54" s="1228"/>
    </row>
    <row r="55" spans="1:3" x14ac:dyDescent="0.25">
      <c r="B55" s="716"/>
      <c r="C55" s="1228"/>
    </row>
    <row r="56" spans="1:3" x14ac:dyDescent="0.25">
      <c r="B56" s="716"/>
      <c r="C56" s="1228"/>
    </row>
    <row r="57" spans="1:3" x14ac:dyDescent="0.25">
      <c r="B57" s="716"/>
      <c r="C57" s="1228"/>
    </row>
    <row r="58" spans="1:3" x14ac:dyDescent="0.25">
      <c r="B58" s="716"/>
      <c r="C58" s="1228"/>
    </row>
    <row r="59" spans="1:3" x14ac:dyDescent="0.25">
      <c r="B59" s="716"/>
      <c r="C59" s="1228"/>
    </row>
    <row r="60" spans="1:3" x14ac:dyDescent="0.25">
      <c r="B60" s="716"/>
      <c r="C60" s="1228"/>
    </row>
    <row r="61" spans="1:3" x14ac:dyDescent="0.25">
      <c r="B61" s="716"/>
      <c r="C61" s="1228"/>
    </row>
    <row r="62" spans="1:3" x14ac:dyDescent="0.25">
      <c r="B62" s="716"/>
      <c r="C62" s="1228"/>
    </row>
    <row r="63" spans="1:3" x14ac:dyDescent="0.25">
      <c r="B63" s="716"/>
      <c r="C63" s="1228"/>
    </row>
    <row r="64" spans="1:3" x14ac:dyDescent="0.25">
      <c r="B64" s="716"/>
      <c r="C64" s="1228"/>
    </row>
    <row r="65" spans="2:3" x14ac:dyDescent="0.25">
      <c r="B65" s="716"/>
      <c r="C65" s="1228"/>
    </row>
    <row r="66" spans="2:3" x14ac:dyDescent="0.25">
      <c r="B66" s="716"/>
      <c r="C66" s="1228"/>
    </row>
    <row r="67" spans="2:3" x14ac:dyDescent="0.25">
      <c r="B67" s="716"/>
      <c r="C67" s="1228"/>
    </row>
    <row r="68" spans="2:3" x14ac:dyDescent="0.25">
      <c r="B68" s="716"/>
      <c r="C68" s="1228"/>
    </row>
    <row r="69" spans="2:3" x14ac:dyDescent="0.25">
      <c r="B69" s="716"/>
      <c r="C69" s="1228"/>
    </row>
    <row r="70" spans="2:3" x14ac:dyDescent="0.25">
      <c r="B70" s="716"/>
      <c r="C70" s="1228"/>
    </row>
    <row r="71" spans="2:3" x14ac:dyDescent="0.25">
      <c r="B71" s="716"/>
      <c r="C71" s="1228"/>
    </row>
    <row r="72" spans="2:3" x14ac:dyDescent="0.25">
      <c r="B72" s="716"/>
      <c r="C72" s="1228"/>
    </row>
    <row r="73" spans="2:3" x14ac:dyDescent="0.25">
      <c r="B73" s="716"/>
      <c r="C73" s="1228"/>
    </row>
    <row r="74" spans="2:3" x14ac:dyDescent="0.25">
      <c r="B74" s="716"/>
      <c r="C74" s="1228"/>
    </row>
    <row r="75" spans="2:3" x14ac:dyDescent="0.25">
      <c r="B75" s="716"/>
      <c r="C75" s="1228"/>
    </row>
    <row r="76" spans="2:3" x14ac:dyDescent="0.25">
      <c r="B76" s="716"/>
      <c r="C76" s="1228"/>
    </row>
    <row r="77" spans="2:3" x14ac:dyDescent="0.25">
      <c r="B77" s="716"/>
      <c r="C77" s="1228"/>
    </row>
    <row r="78" spans="2:3" x14ac:dyDescent="0.25">
      <c r="B78" s="716"/>
      <c r="C78" s="1228"/>
    </row>
    <row r="79" spans="2:3" x14ac:dyDescent="0.25">
      <c r="B79" s="716"/>
      <c r="C79" s="1228"/>
    </row>
    <row r="80" spans="2:3" x14ac:dyDescent="0.25">
      <c r="B80" s="716"/>
      <c r="C80" s="1228"/>
    </row>
    <row r="81" spans="2:3" x14ac:dyDescent="0.25">
      <c r="B81" s="716"/>
      <c r="C81" s="1228"/>
    </row>
    <row r="82" spans="2:3" x14ac:dyDescent="0.25">
      <c r="B82" s="716"/>
      <c r="C82" s="1228"/>
    </row>
    <row r="83" spans="2:3" x14ac:dyDescent="0.25">
      <c r="B83" s="716"/>
      <c r="C83" s="1228"/>
    </row>
    <row r="84" spans="2:3" x14ac:dyDescent="0.25">
      <c r="B84" s="716"/>
      <c r="C84" s="1228"/>
    </row>
    <row r="85" spans="2:3" x14ac:dyDescent="0.25">
      <c r="B85" s="716"/>
      <c r="C85" s="1228"/>
    </row>
    <row r="86" spans="2:3" x14ac:dyDescent="0.25">
      <c r="B86" s="716"/>
      <c r="C86" s="1228"/>
    </row>
    <row r="87" spans="2:3" x14ac:dyDescent="0.25">
      <c r="B87" s="716"/>
      <c r="C87" s="1228"/>
    </row>
    <row r="88" spans="2:3" x14ac:dyDescent="0.25">
      <c r="B88" s="716"/>
      <c r="C88" s="1228"/>
    </row>
    <row r="89" spans="2:3" x14ac:dyDescent="0.25">
      <c r="B89" s="716"/>
      <c r="C89" s="1228"/>
    </row>
    <row r="90" spans="2:3" x14ac:dyDescent="0.25">
      <c r="B90" s="716"/>
    </row>
    <row r="91" spans="2:3" x14ac:dyDescent="0.25">
      <c r="B91" s="716"/>
      <c r="C91" s="1228"/>
    </row>
    <row r="92" spans="2:3" x14ac:dyDescent="0.25">
      <c r="B92" s="716"/>
    </row>
    <row r="93" spans="2:3" x14ac:dyDescent="0.25">
      <c r="B93" s="716"/>
    </row>
    <row r="94" spans="2:3" x14ac:dyDescent="0.25">
      <c r="B94" s="716"/>
      <c r="C94" s="1228"/>
    </row>
    <row r="95" spans="2:3" x14ac:dyDescent="0.25">
      <c r="B95" s="716"/>
      <c r="C95" s="1228"/>
    </row>
    <row r="96" spans="2:3" x14ac:dyDescent="0.25">
      <c r="B96" s="716"/>
      <c r="C96" s="1228"/>
    </row>
    <row r="97" spans="1:3" x14ac:dyDescent="0.25">
      <c r="B97" s="716"/>
      <c r="C97" s="1228"/>
    </row>
    <row r="98" spans="1:3" x14ac:dyDescent="0.25">
      <c r="B98" s="716"/>
      <c r="C98" s="1228"/>
    </row>
    <row r="99" spans="1:3" x14ac:dyDescent="0.25">
      <c r="B99" s="716"/>
      <c r="C99" s="1228"/>
    </row>
    <row r="100" spans="1:3" x14ac:dyDescent="0.25">
      <c r="B100" s="716"/>
      <c r="C100" s="1228"/>
    </row>
    <row r="101" spans="1:3" x14ac:dyDescent="0.25">
      <c r="B101" s="716"/>
      <c r="C101" s="1228"/>
    </row>
    <row r="102" spans="1:3" x14ac:dyDescent="0.25">
      <c r="B102" s="716"/>
    </row>
    <row r="103" spans="1:3" x14ac:dyDescent="0.25">
      <c r="A103" s="716"/>
      <c r="B103" s="716"/>
      <c r="C103" s="1228"/>
    </row>
    <row r="104" spans="1:3" x14ac:dyDescent="0.25">
      <c r="B104" s="716"/>
      <c r="C104" s="1228"/>
    </row>
    <row r="105" spans="1:3" x14ac:dyDescent="0.25">
      <c r="B105" s="716"/>
      <c r="C105" s="1228"/>
    </row>
    <row r="106" spans="1:3" x14ac:dyDescent="0.25">
      <c r="B106" s="716"/>
      <c r="C106" s="1228"/>
    </row>
    <row r="107" spans="1:3" x14ac:dyDescent="0.25">
      <c r="B107" s="716"/>
      <c r="C107" s="1228"/>
    </row>
    <row r="108" spans="1:3" x14ac:dyDescent="0.25">
      <c r="B108" s="716"/>
      <c r="C108" s="1228"/>
    </row>
    <row r="109" spans="1:3" x14ac:dyDescent="0.25">
      <c r="B109" s="716"/>
      <c r="C109" s="1228"/>
    </row>
    <row r="110" spans="1:3" x14ac:dyDescent="0.25">
      <c r="B110" s="716"/>
      <c r="C110" s="1228"/>
    </row>
    <row r="111" spans="1:3" x14ac:dyDescent="0.25">
      <c r="B111" s="716"/>
      <c r="C111" s="1228"/>
    </row>
    <row r="112" spans="1:3" x14ac:dyDescent="0.25">
      <c r="B112" s="716"/>
      <c r="C112" s="1228"/>
    </row>
    <row r="113" spans="2:3" x14ac:dyDescent="0.25">
      <c r="B113" s="716"/>
      <c r="C113" s="1228"/>
    </row>
    <row r="114" spans="2:3" x14ac:dyDescent="0.25">
      <c r="B114" s="716"/>
      <c r="C114" s="1228"/>
    </row>
    <row r="115" spans="2:3" x14ac:dyDescent="0.25">
      <c r="B115" s="716"/>
      <c r="C115" s="1228"/>
    </row>
    <row r="116" spans="2:3" x14ac:dyDescent="0.25">
      <c r="B116" s="716"/>
      <c r="C116" s="1228"/>
    </row>
    <row r="117" spans="2:3" x14ac:dyDescent="0.25">
      <c r="B117" s="716"/>
      <c r="C117" s="1228"/>
    </row>
    <row r="118" spans="2:3" x14ac:dyDescent="0.25">
      <c r="B118" s="716"/>
      <c r="C118" s="1228"/>
    </row>
    <row r="119" spans="2:3" x14ac:dyDescent="0.25">
      <c r="B119" s="716"/>
      <c r="C119" s="1228"/>
    </row>
    <row r="120" spans="2:3" x14ac:dyDescent="0.25">
      <c r="B120" s="716"/>
      <c r="C120" s="1228"/>
    </row>
    <row r="121" spans="2:3" x14ac:dyDescent="0.25">
      <c r="B121" s="716"/>
      <c r="C121" s="1228"/>
    </row>
    <row r="122" spans="2:3" x14ac:dyDescent="0.25">
      <c r="B122" s="716"/>
      <c r="C122" s="1228"/>
    </row>
    <row r="123" spans="2:3" x14ac:dyDescent="0.25">
      <c r="B123" s="716"/>
      <c r="C123" s="1228"/>
    </row>
    <row r="124" spans="2:3" x14ac:dyDescent="0.25">
      <c r="B124" s="716"/>
      <c r="C124" s="1228"/>
    </row>
    <row r="125" spans="2:3" x14ac:dyDescent="0.25">
      <c r="B125" s="716"/>
      <c r="C125" s="1228"/>
    </row>
    <row r="126" spans="2:3" x14ac:dyDescent="0.25">
      <c r="B126" s="716"/>
      <c r="C126" s="1228"/>
    </row>
    <row r="127" spans="2:3" x14ac:dyDescent="0.25">
      <c r="B127" s="716"/>
      <c r="C127" s="1228"/>
    </row>
    <row r="128" spans="2:3" x14ac:dyDescent="0.25">
      <c r="B128" s="716"/>
      <c r="C128" s="1228"/>
    </row>
    <row r="129" spans="2:3" x14ac:dyDescent="0.25">
      <c r="B129" s="716"/>
      <c r="C129" s="1228"/>
    </row>
    <row r="130" spans="2:3" x14ac:dyDescent="0.25">
      <c r="B130" s="716"/>
      <c r="C130" s="1228"/>
    </row>
    <row r="131" spans="2:3" x14ac:dyDescent="0.25">
      <c r="B131" s="716"/>
      <c r="C131" s="1228"/>
    </row>
    <row r="132" spans="2:3" x14ac:dyDescent="0.25">
      <c r="B132" s="716"/>
      <c r="C132" s="1228"/>
    </row>
    <row r="133" spans="2:3" x14ac:dyDescent="0.25">
      <c r="B133" s="716"/>
      <c r="C133" s="1228"/>
    </row>
    <row r="134" spans="2:3" x14ac:dyDescent="0.25">
      <c r="B134" s="716"/>
      <c r="C134" s="1228"/>
    </row>
    <row r="135" spans="2:3" x14ac:dyDescent="0.25">
      <c r="B135" s="716"/>
      <c r="C135" s="1228"/>
    </row>
    <row r="136" spans="2:3" x14ac:dyDescent="0.25">
      <c r="B136" s="716"/>
      <c r="C136" s="1228"/>
    </row>
    <row r="137" spans="2:3" x14ac:dyDescent="0.25">
      <c r="B137" s="716"/>
      <c r="C137" s="1228"/>
    </row>
    <row r="138" spans="2:3" x14ac:dyDescent="0.25">
      <c r="B138" s="716"/>
      <c r="C138" s="1228"/>
    </row>
    <row r="139" spans="2:3" x14ac:dyDescent="0.25">
      <c r="B139" s="716"/>
      <c r="C139" s="1228"/>
    </row>
    <row r="140" spans="2:3" x14ac:dyDescent="0.25">
      <c r="B140" s="716"/>
      <c r="C140" s="1228"/>
    </row>
    <row r="141" spans="2:3" x14ac:dyDescent="0.25">
      <c r="B141" s="716"/>
      <c r="C141" s="1228"/>
    </row>
    <row r="142" spans="2:3" x14ac:dyDescent="0.25">
      <c r="B142" s="716"/>
      <c r="C142" s="1228"/>
    </row>
    <row r="143" spans="2:3" x14ac:dyDescent="0.25">
      <c r="B143" s="716"/>
      <c r="C143" s="1228"/>
    </row>
    <row r="144" spans="2:3" x14ac:dyDescent="0.25">
      <c r="B144" s="716"/>
      <c r="C144" s="1228"/>
    </row>
    <row r="145" spans="1:3" x14ac:dyDescent="0.25">
      <c r="B145" s="716"/>
      <c r="C145" s="1228"/>
    </row>
    <row r="146" spans="1:3" x14ac:dyDescent="0.25">
      <c r="B146" s="716"/>
      <c r="C146" s="1228"/>
    </row>
    <row r="147" spans="1:3" x14ac:dyDescent="0.25">
      <c r="B147" s="716"/>
      <c r="C147" s="1228"/>
    </row>
    <row r="148" spans="1:3" x14ac:dyDescent="0.25">
      <c r="B148" s="716"/>
      <c r="C148" s="1228"/>
    </row>
    <row r="149" spans="1:3" x14ac:dyDescent="0.25">
      <c r="B149" s="716"/>
      <c r="C149" s="1228"/>
    </row>
    <row r="150" spans="1:3" x14ac:dyDescent="0.25">
      <c r="B150" s="716"/>
      <c r="C150" s="1228"/>
    </row>
    <row r="151" spans="1:3" x14ac:dyDescent="0.25">
      <c r="B151" s="716"/>
      <c r="C151" s="1228"/>
    </row>
    <row r="152" spans="1:3" x14ac:dyDescent="0.25">
      <c r="A152" s="716"/>
      <c r="B152" s="716"/>
      <c r="C152" s="1228"/>
    </row>
    <row r="153" spans="1:3" x14ac:dyDescent="0.25">
      <c r="B153" s="716"/>
    </row>
    <row r="154" spans="1:3" x14ac:dyDescent="0.25">
      <c r="B154" s="716"/>
      <c r="C154" s="1228"/>
    </row>
    <row r="155" spans="1:3" x14ac:dyDescent="0.25">
      <c r="B155" s="716"/>
      <c r="C155" s="1228"/>
    </row>
    <row r="156" spans="1:3" x14ac:dyDescent="0.25">
      <c r="B156" s="716"/>
      <c r="C156" s="1228"/>
    </row>
    <row r="157" spans="1:3" x14ac:dyDescent="0.25">
      <c r="B157" s="716"/>
      <c r="C157" s="1228"/>
    </row>
    <row r="158" spans="1:3" x14ac:dyDescent="0.25">
      <c r="B158" s="716"/>
      <c r="C158" s="1228"/>
    </row>
    <row r="159" spans="1:3" x14ac:dyDescent="0.25">
      <c r="B159" s="716"/>
      <c r="C159" s="1228"/>
    </row>
    <row r="160" spans="1:3" x14ac:dyDescent="0.25">
      <c r="B160" s="716"/>
      <c r="C160" s="1228"/>
    </row>
    <row r="161" spans="2:3" x14ac:dyDescent="0.25">
      <c r="B161" s="716"/>
      <c r="C161" s="1228"/>
    </row>
    <row r="162" spans="2:3" x14ac:dyDescent="0.25">
      <c r="B162" s="716"/>
      <c r="C162" s="1228"/>
    </row>
    <row r="163" spans="2:3" x14ac:dyDescent="0.25">
      <c r="B163" s="716"/>
      <c r="C163" s="1228"/>
    </row>
    <row r="164" spans="2:3" x14ac:dyDescent="0.25">
      <c r="B164" s="716"/>
      <c r="C164" s="1228"/>
    </row>
    <row r="165" spans="2:3" x14ac:dyDescent="0.25">
      <c r="B165" s="716"/>
      <c r="C165" s="1228"/>
    </row>
    <row r="166" spans="2:3" x14ac:dyDescent="0.25">
      <c r="B166" s="716"/>
      <c r="C166" s="1228"/>
    </row>
    <row r="167" spans="2:3" x14ac:dyDescent="0.25">
      <c r="B167" s="716"/>
      <c r="C167" s="1228"/>
    </row>
    <row r="168" spans="2:3" x14ac:dyDescent="0.25">
      <c r="B168" s="716"/>
      <c r="C168" s="1228"/>
    </row>
    <row r="169" spans="2:3" x14ac:dyDescent="0.25">
      <c r="B169" s="716"/>
      <c r="C169" s="1228"/>
    </row>
    <row r="170" spans="2:3" x14ac:dyDescent="0.25">
      <c r="B170" s="716"/>
      <c r="C170" s="1228"/>
    </row>
    <row r="171" spans="2:3" x14ac:dyDescent="0.25">
      <c r="B171" s="716"/>
      <c r="C171" s="1228"/>
    </row>
    <row r="172" spans="2:3" x14ac:dyDescent="0.25">
      <c r="B172" s="716"/>
      <c r="C172" s="1228"/>
    </row>
    <row r="173" spans="2:3" x14ac:dyDescent="0.25">
      <c r="B173" s="716"/>
      <c r="C173" s="1228"/>
    </row>
    <row r="174" spans="2:3" x14ac:dyDescent="0.25">
      <c r="B174" s="716"/>
      <c r="C174" s="1228"/>
    </row>
    <row r="175" spans="2:3" x14ac:dyDescent="0.25">
      <c r="B175" s="716"/>
      <c r="C175" s="1228"/>
    </row>
    <row r="176" spans="2:3" x14ac:dyDescent="0.25">
      <c r="B176" s="716"/>
      <c r="C176" s="1228"/>
    </row>
    <row r="177" spans="2:3" x14ac:dyDescent="0.25">
      <c r="B177" s="716"/>
      <c r="C177" s="1228"/>
    </row>
    <row r="178" spans="2:3" x14ac:dyDescent="0.25">
      <c r="B178" s="716"/>
      <c r="C178" s="1228"/>
    </row>
    <row r="179" spans="2:3" x14ac:dyDescent="0.25">
      <c r="B179" s="716"/>
      <c r="C179" s="1228"/>
    </row>
    <row r="180" spans="2:3" x14ac:dyDescent="0.25">
      <c r="B180" s="716"/>
      <c r="C180" s="1228"/>
    </row>
    <row r="181" spans="2:3" x14ac:dyDescent="0.25">
      <c r="B181" s="716"/>
      <c r="C181" s="1228"/>
    </row>
    <row r="182" spans="2:3" x14ac:dyDescent="0.25">
      <c r="B182" s="716"/>
      <c r="C182" s="1228"/>
    </row>
    <row r="183" spans="2:3" x14ac:dyDescent="0.25">
      <c r="B183" s="716"/>
      <c r="C183" s="1228"/>
    </row>
    <row r="184" spans="2:3" x14ac:dyDescent="0.25">
      <c r="B184" s="716"/>
    </row>
    <row r="185" spans="2:3" x14ac:dyDescent="0.25">
      <c r="B185" s="716"/>
      <c r="C185" s="1228"/>
    </row>
    <row r="186" spans="2:3" x14ac:dyDescent="0.25">
      <c r="B186" s="716"/>
      <c r="C186" s="1228"/>
    </row>
    <row r="187" spans="2:3" x14ac:dyDescent="0.25">
      <c r="B187" s="716"/>
      <c r="C187" s="1228"/>
    </row>
    <row r="188" spans="2:3" x14ac:dyDescent="0.25">
      <c r="B188" s="716"/>
    </row>
    <row r="189" spans="2:3" x14ac:dyDescent="0.25">
      <c r="B189" s="716"/>
      <c r="C189" s="1228"/>
    </row>
    <row r="190" spans="2:3" x14ac:dyDescent="0.25">
      <c r="B190" s="716"/>
    </row>
    <row r="191" spans="2:3" x14ac:dyDescent="0.25">
      <c r="B191" s="716"/>
      <c r="C191" s="1228"/>
    </row>
    <row r="192" spans="2:3" x14ac:dyDescent="0.25">
      <c r="B192" s="716"/>
      <c r="C192" s="1228"/>
    </row>
    <row r="193" spans="1:3" x14ac:dyDescent="0.25">
      <c r="B193" s="716"/>
      <c r="C193" s="1228"/>
    </row>
    <row r="194" spans="1:3" x14ac:dyDescent="0.25">
      <c r="B194" s="716"/>
      <c r="C194" s="1228"/>
    </row>
    <row r="195" spans="1:3" x14ac:dyDescent="0.25">
      <c r="B195" s="716"/>
      <c r="C195" s="1228"/>
    </row>
    <row r="196" spans="1:3" x14ac:dyDescent="0.25">
      <c r="B196" s="716"/>
      <c r="C196" s="1228"/>
    </row>
    <row r="197" spans="1:3" x14ac:dyDescent="0.25">
      <c r="B197" s="716"/>
      <c r="C197" s="1228"/>
    </row>
    <row r="198" spans="1:3" x14ac:dyDescent="0.25">
      <c r="B198" s="716"/>
      <c r="C198" s="1228"/>
    </row>
    <row r="199" spans="1:3" x14ac:dyDescent="0.25">
      <c r="B199" s="716"/>
      <c r="C199" s="1228"/>
    </row>
    <row r="200" spans="1:3" x14ac:dyDescent="0.25">
      <c r="B200" s="716"/>
    </row>
    <row r="201" spans="1:3" x14ac:dyDescent="0.25">
      <c r="A201" s="716"/>
      <c r="B201" s="716"/>
      <c r="C201" s="1228"/>
    </row>
    <row r="202" spans="1:3" x14ac:dyDescent="0.25">
      <c r="B202" s="716"/>
      <c r="C202" s="1228"/>
    </row>
    <row r="203" spans="1:3" x14ac:dyDescent="0.25">
      <c r="B203" s="716"/>
      <c r="C203" s="1228"/>
    </row>
    <row r="204" spans="1:3" x14ac:dyDescent="0.25">
      <c r="B204" s="716"/>
      <c r="C204" s="1228"/>
    </row>
    <row r="205" spans="1:3" x14ac:dyDescent="0.25">
      <c r="B205" s="716"/>
      <c r="C205" s="1228"/>
    </row>
    <row r="206" spans="1:3" x14ac:dyDescent="0.25">
      <c r="B206" s="716"/>
      <c r="C206" s="1228"/>
    </row>
    <row r="207" spans="1:3" x14ac:dyDescent="0.25">
      <c r="B207" s="716"/>
      <c r="C207" s="1228"/>
    </row>
    <row r="208" spans="1:3" x14ac:dyDescent="0.25">
      <c r="B208" s="716"/>
      <c r="C208" s="1228"/>
    </row>
    <row r="209" spans="2:3" x14ac:dyDescent="0.25">
      <c r="B209" s="716"/>
      <c r="C209" s="1228"/>
    </row>
    <row r="210" spans="2:3" x14ac:dyDescent="0.25">
      <c r="B210" s="716"/>
      <c r="C210" s="1228"/>
    </row>
    <row r="211" spans="2:3" x14ac:dyDescent="0.25">
      <c r="B211" s="716"/>
      <c r="C211" s="1228"/>
    </row>
    <row r="212" spans="2:3" x14ac:dyDescent="0.25">
      <c r="B212" s="716"/>
      <c r="C212" s="1228"/>
    </row>
    <row r="213" spans="2:3" x14ac:dyDescent="0.25">
      <c r="B213" s="716"/>
      <c r="C213" s="1228"/>
    </row>
    <row r="214" spans="2:3" x14ac:dyDescent="0.25">
      <c r="B214" s="716"/>
      <c r="C214" s="1228"/>
    </row>
    <row r="215" spans="2:3" x14ac:dyDescent="0.25">
      <c r="B215" s="716"/>
      <c r="C215" s="1228"/>
    </row>
    <row r="216" spans="2:3" x14ac:dyDescent="0.25">
      <c r="B216" s="716"/>
      <c r="C216" s="1228"/>
    </row>
    <row r="217" spans="2:3" x14ac:dyDescent="0.25">
      <c r="B217" s="716"/>
      <c r="C217" s="1228"/>
    </row>
    <row r="218" spans="2:3" x14ac:dyDescent="0.25">
      <c r="B218" s="716"/>
      <c r="C218" s="1228"/>
    </row>
    <row r="219" spans="2:3" x14ac:dyDescent="0.25">
      <c r="B219" s="716"/>
      <c r="C219" s="1228"/>
    </row>
    <row r="220" spans="2:3" x14ac:dyDescent="0.25">
      <c r="B220" s="716"/>
      <c r="C220" s="1228"/>
    </row>
    <row r="221" spans="2:3" x14ac:dyDescent="0.25">
      <c r="B221" s="716"/>
      <c r="C221" s="1228"/>
    </row>
    <row r="222" spans="2:3" x14ac:dyDescent="0.25">
      <c r="B222" s="716"/>
      <c r="C222" s="1228"/>
    </row>
    <row r="223" spans="2:3" x14ac:dyDescent="0.25">
      <c r="B223" s="716"/>
      <c r="C223" s="1228"/>
    </row>
    <row r="224" spans="2:3" x14ac:dyDescent="0.25">
      <c r="B224" s="716"/>
      <c r="C224" s="1228"/>
    </row>
    <row r="225" spans="2:3" x14ac:dyDescent="0.25">
      <c r="B225" s="716"/>
      <c r="C225" s="1228"/>
    </row>
    <row r="226" spans="2:3" x14ac:dyDescent="0.25">
      <c r="B226" s="716"/>
      <c r="C226" s="1228"/>
    </row>
    <row r="227" spans="2:3" x14ac:dyDescent="0.25">
      <c r="B227" s="716"/>
      <c r="C227" s="1228"/>
    </row>
    <row r="228" spans="2:3" x14ac:dyDescent="0.25">
      <c r="B228" s="716"/>
      <c r="C228" s="1228"/>
    </row>
    <row r="229" spans="2:3" x14ac:dyDescent="0.25">
      <c r="B229" s="716"/>
      <c r="C229" s="1228"/>
    </row>
    <row r="230" spans="2:3" x14ac:dyDescent="0.25">
      <c r="B230" s="716"/>
      <c r="C230" s="1228"/>
    </row>
    <row r="231" spans="2:3" x14ac:dyDescent="0.25">
      <c r="B231" s="716"/>
      <c r="C231" s="1228"/>
    </row>
    <row r="232" spans="2:3" x14ac:dyDescent="0.25">
      <c r="B232" s="716"/>
      <c r="C232" s="1228"/>
    </row>
    <row r="233" spans="2:3" x14ac:dyDescent="0.25">
      <c r="B233" s="716"/>
      <c r="C233" s="1228"/>
    </row>
    <row r="234" spans="2:3" x14ac:dyDescent="0.25">
      <c r="B234" s="716"/>
      <c r="C234" s="1228"/>
    </row>
    <row r="235" spans="2:3" x14ac:dyDescent="0.25">
      <c r="B235" s="716"/>
      <c r="C235" s="1228"/>
    </row>
    <row r="236" spans="2:3" x14ac:dyDescent="0.25">
      <c r="B236" s="716"/>
      <c r="C236" s="1228"/>
    </row>
    <row r="237" spans="2:3" x14ac:dyDescent="0.25">
      <c r="B237" s="716"/>
      <c r="C237" s="1228"/>
    </row>
    <row r="238" spans="2:3" x14ac:dyDescent="0.25">
      <c r="B238" s="716"/>
      <c r="C238" s="1228"/>
    </row>
    <row r="239" spans="2:3" x14ac:dyDescent="0.25">
      <c r="B239" s="716"/>
      <c r="C239" s="1228"/>
    </row>
    <row r="240" spans="2:3" x14ac:dyDescent="0.25">
      <c r="B240" s="716"/>
      <c r="C240" s="1228"/>
    </row>
    <row r="241" spans="1:3" x14ac:dyDescent="0.25">
      <c r="B241" s="716"/>
      <c r="C241" s="1228"/>
    </row>
    <row r="242" spans="1:3" x14ac:dyDescent="0.25">
      <c r="B242" s="716"/>
      <c r="C242" s="1228"/>
    </row>
    <row r="243" spans="1:3" x14ac:dyDescent="0.25">
      <c r="B243" s="716"/>
      <c r="C243" s="1228"/>
    </row>
    <row r="244" spans="1:3" x14ac:dyDescent="0.25">
      <c r="B244" s="716"/>
      <c r="C244" s="1228"/>
    </row>
    <row r="245" spans="1:3" x14ac:dyDescent="0.25">
      <c r="B245" s="716"/>
      <c r="C245" s="1228"/>
    </row>
    <row r="246" spans="1:3" x14ac:dyDescent="0.25">
      <c r="B246" s="716"/>
      <c r="C246" s="1228"/>
    </row>
    <row r="247" spans="1:3" x14ac:dyDescent="0.25">
      <c r="B247" s="716"/>
      <c r="C247" s="1228"/>
    </row>
    <row r="248" spans="1:3" x14ac:dyDescent="0.25">
      <c r="B248" s="716"/>
      <c r="C248" s="1228"/>
    </row>
    <row r="249" spans="1:3" x14ac:dyDescent="0.25">
      <c r="B249" s="716"/>
      <c r="C249" s="1228"/>
    </row>
    <row r="250" spans="1:3" x14ac:dyDescent="0.25">
      <c r="A250" s="716"/>
      <c r="B250" s="716"/>
      <c r="C250" s="1228"/>
    </row>
    <row r="251" spans="1:3" x14ac:dyDescent="0.25">
      <c r="B251" s="716"/>
      <c r="C251" s="1228"/>
    </row>
    <row r="252" spans="1:3" x14ac:dyDescent="0.25">
      <c r="B252" s="716"/>
      <c r="C252" s="1228"/>
    </row>
    <row r="253" spans="1:3" x14ac:dyDescent="0.25">
      <c r="B253" s="716"/>
      <c r="C253" s="1228"/>
    </row>
    <row r="254" spans="1:3" x14ac:dyDescent="0.25">
      <c r="B254" s="716"/>
      <c r="C254" s="1228"/>
    </row>
    <row r="255" spans="1:3" x14ac:dyDescent="0.25">
      <c r="B255" s="716"/>
      <c r="C255" s="1228"/>
    </row>
    <row r="256" spans="1:3" x14ac:dyDescent="0.25">
      <c r="B256" s="716"/>
      <c r="C256" s="1228"/>
    </row>
    <row r="257" spans="2:3" x14ac:dyDescent="0.25">
      <c r="B257" s="716"/>
      <c r="C257" s="1228"/>
    </row>
    <row r="258" spans="2:3" x14ac:dyDescent="0.25">
      <c r="B258" s="716"/>
      <c r="C258" s="1228"/>
    </row>
    <row r="259" spans="2:3" x14ac:dyDescent="0.25">
      <c r="B259" s="716"/>
      <c r="C259" s="1228"/>
    </row>
    <row r="260" spans="2:3" x14ac:dyDescent="0.25">
      <c r="B260" s="716"/>
      <c r="C260" s="1228"/>
    </row>
    <row r="261" spans="2:3" x14ac:dyDescent="0.25">
      <c r="B261" s="716"/>
      <c r="C261" s="1228"/>
    </row>
    <row r="262" spans="2:3" x14ac:dyDescent="0.25">
      <c r="B262" s="716"/>
      <c r="C262" s="1228"/>
    </row>
    <row r="263" spans="2:3" x14ac:dyDescent="0.25">
      <c r="B263" s="716"/>
      <c r="C263" s="1228"/>
    </row>
    <row r="264" spans="2:3" x14ac:dyDescent="0.25">
      <c r="B264" s="716"/>
      <c r="C264" s="1228"/>
    </row>
    <row r="265" spans="2:3" x14ac:dyDescent="0.25">
      <c r="B265" s="716"/>
      <c r="C265" s="1228"/>
    </row>
    <row r="266" spans="2:3" x14ac:dyDescent="0.25">
      <c r="B266" s="716"/>
      <c r="C266" s="1228"/>
    </row>
    <row r="267" spans="2:3" x14ac:dyDescent="0.25">
      <c r="B267" s="716"/>
      <c r="C267" s="1228"/>
    </row>
    <row r="268" spans="2:3" x14ac:dyDescent="0.25">
      <c r="B268" s="716"/>
      <c r="C268" s="1228"/>
    </row>
    <row r="269" spans="2:3" x14ac:dyDescent="0.25">
      <c r="B269" s="716"/>
      <c r="C269" s="1228"/>
    </row>
    <row r="270" spans="2:3" x14ac:dyDescent="0.25">
      <c r="B270" s="716"/>
      <c r="C270" s="1228"/>
    </row>
    <row r="271" spans="2:3" x14ac:dyDescent="0.25">
      <c r="B271" s="716"/>
      <c r="C271" s="1228"/>
    </row>
    <row r="272" spans="2:3" x14ac:dyDescent="0.25">
      <c r="B272" s="716"/>
      <c r="C272" s="1228"/>
    </row>
    <row r="273" spans="2:3" x14ac:dyDescent="0.25">
      <c r="B273" s="716"/>
      <c r="C273" s="1228"/>
    </row>
    <row r="274" spans="2:3" x14ac:dyDescent="0.25">
      <c r="B274" s="716"/>
      <c r="C274" s="1228"/>
    </row>
    <row r="275" spans="2:3" x14ac:dyDescent="0.25">
      <c r="B275" s="716"/>
      <c r="C275" s="1228"/>
    </row>
    <row r="276" spans="2:3" x14ac:dyDescent="0.25">
      <c r="B276" s="716"/>
      <c r="C276" s="1228"/>
    </row>
    <row r="277" spans="2:3" x14ac:dyDescent="0.25">
      <c r="B277" s="716"/>
      <c r="C277" s="1228"/>
    </row>
    <row r="278" spans="2:3" x14ac:dyDescent="0.25">
      <c r="B278" s="716"/>
      <c r="C278" s="1228"/>
    </row>
    <row r="279" spans="2:3" x14ac:dyDescent="0.25">
      <c r="B279" s="716"/>
      <c r="C279" s="1228"/>
    </row>
    <row r="280" spans="2:3" x14ac:dyDescent="0.25">
      <c r="B280" s="716"/>
      <c r="C280" s="1228"/>
    </row>
    <row r="281" spans="2:3" x14ac:dyDescent="0.25">
      <c r="B281" s="716"/>
      <c r="C281" s="1228"/>
    </row>
    <row r="282" spans="2:3" x14ac:dyDescent="0.25">
      <c r="B282" s="716"/>
      <c r="C282" s="1228"/>
    </row>
    <row r="283" spans="2:3" x14ac:dyDescent="0.25">
      <c r="B283" s="716"/>
      <c r="C283" s="1228"/>
    </row>
    <row r="284" spans="2:3" x14ac:dyDescent="0.25">
      <c r="B284" s="716"/>
      <c r="C284" s="1228"/>
    </row>
    <row r="285" spans="2:3" x14ac:dyDescent="0.25">
      <c r="B285" s="716"/>
      <c r="C285" s="1228"/>
    </row>
    <row r="286" spans="2:3" x14ac:dyDescent="0.25">
      <c r="B286" s="716"/>
      <c r="C286" s="1228"/>
    </row>
    <row r="287" spans="2:3" x14ac:dyDescent="0.25">
      <c r="B287" s="716"/>
      <c r="C287" s="1228"/>
    </row>
    <row r="288" spans="2:3" x14ac:dyDescent="0.25">
      <c r="B288" s="716"/>
      <c r="C288" s="1228"/>
    </row>
    <row r="289" spans="1:3" x14ac:dyDescent="0.25">
      <c r="B289" s="716"/>
      <c r="C289" s="1228"/>
    </row>
    <row r="290" spans="1:3" x14ac:dyDescent="0.25">
      <c r="B290" s="716"/>
      <c r="C290" s="1228"/>
    </row>
    <row r="291" spans="1:3" x14ac:dyDescent="0.25">
      <c r="B291" s="716"/>
      <c r="C291" s="1228"/>
    </row>
    <row r="292" spans="1:3" x14ac:dyDescent="0.25">
      <c r="B292" s="716"/>
      <c r="C292" s="1228"/>
    </row>
    <row r="293" spans="1:3" x14ac:dyDescent="0.25">
      <c r="B293" s="716"/>
      <c r="C293" s="1228"/>
    </row>
    <row r="294" spans="1:3" x14ac:dyDescent="0.25">
      <c r="B294" s="716"/>
      <c r="C294" s="1228"/>
    </row>
    <row r="295" spans="1:3" x14ac:dyDescent="0.25">
      <c r="B295" s="716"/>
      <c r="C295" s="1228"/>
    </row>
    <row r="296" spans="1:3" x14ac:dyDescent="0.25">
      <c r="B296" s="716"/>
      <c r="C296" s="1228"/>
    </row>
    <row r="297" spans="1:3" x14ac:dyDescent="0.25">
      <c r="B297" s="716"/>
      <c r="C297" s="1228"/>
    </row>
    <row r="298" spans="1:3" x14ac:dyDescent="0.25">
      <c r="B298" s="716"/>
      <c r="C298" s="1228"/>
    </row>
    <row r="299" spans="1:3" x14ac:dyDescent="0.25">
      <c r="A299" s="716"/>
      <c r="B299" s="716"/>
      <c r="C299" s="1228"/>
    </row>
    <row r="300" spans="1:3" x14ac:dyDescent="0.25">
      <c r="B300" s="716"/>
      <c r="C300" s="1228"/>
    </row>
    <row r="301" spans="1:3" x14ac:dyDescent="0.25">
      <c r="B301" s="716"/>
      <c r="C301" s="1228"/>
    </row>
    <row r="302" spans="1:3" x14ac:dyDescent="0.25">
      <c r="B302" s="716"/>
      <c r="C302" s="1228"/>
    </row>
    <row r="303" spans="1:3" x14ac:dyDescent="0.25">
      <c r="B303" s="716"/>
      <c r="C303" s="1228"/>
    </row>
    <row r="304" spans="1:3" x14ac:dyDescent="0.25">
      <c r="B304" s="716"/>
      <c r="C304" s="1228"/>
    </row>
    <row r="305" spans="2:3" x14ac:dyDescent="0.25">
      <c r="B305" s="716"/>
      <c r="C305" s="1228"/>
    </row>
    <row r="306" spans="2:3" x14ac:dyDescent="0.25">
      <c r="B306" s="716"/>
      <c r="C306" s="1228"/>
    </row>
    <row r="307" spans="2:3" x14ac:dyDescent="0.25">
      <c r="B307" s="716"/>
      <c r="C307" s="1228"/>
    </row>
    <row r="308" spans="2:3" x14ac:dyDescent="0.25">
      <c r="B308" s="716"/>
      <c r="C308" s="1228"/>
    </row>
    <row r="309" spans="2:3" x14ac:dyDescent="0.25">
      <c r="B309" s="716"/>
      <c r="C309" s="1228"/>
    </row>
    <row r="310" spans="2:3" x14ac:dyDescent="0.25">
      <c r="B310" s="716"/>
      <c r="C310" s="1228"/>
    </row>
    <row r="311" spans="2:3" x14ac:dyDescent="0.25">
      <c r="B311" s="716"/>
      <c r="C311" s="1228"/>
    </row>
    <row r="312" spans="2:3" x14ac:dyDescent="0.25">
      <c r="B312" s="716"/>
      <c r="C312" s="1228"/>
    </row>
    <row r="313" spans="2:3" x14ac:dyDescent="0.25">
      <c r="B313" s="716"/>
      <c r="C313" s="1228"/>
    </row>
    <row r="314" spans="2:3" x14ac:dyDescent="0.25">
      <c r="B314" s="716"/>
      <c r="C314" s="1228"/>
    </row>
    <row r="315" spans="2:3" x14ac:dyDescent="0.25">
      <c r="B315" s="716"/>
      <c r="C315" s="1228"/>
    </row>
    <row r="316" spans="2:3" x14ac:dyDescent="0.25">
      <c r="B316" s="716"/>
      <c r="C316" s="1228"/>
    </row>
    <row r="317" spans="2:3" x14ac:dyDescent="0.25">
      <c r="B317" s="716"/>
      <c r="C317" s="1228"/>
    </row>
    <row r="318" spans="2:3" x14ac:dyDescent="0.25">
      <c r="B318" s="716"/>
      <c r="C318" s="1228"/>
    </row>
    <row r="319" spans="2:3" x14ac:dyDescent="0.25">
      <c r="B319" s="716"/>
      <c r="C319" s="1228"/>
    </row>
    <row r="320" spans="2:3" x14ac:dyDescent="0.25">
      <c r="B320" s="716"/>
      <c r="C320" s="1228"/>
    </row>
    <row r="321" spans="2:3" x14ac:dyDescent="0.25">
      <c r="B321" s="716"/>
      <c r="C321" s="1228"/>
    </row>
    <row r="322" spans="2:3" x14ac:dyDescent="0.25">
      <c r="B322" s="716"/>
      <c r="C322" s="1228"/>
    </row>
    <row r="323" spans="2:3" x14ac:dyDescent="0.25">
      <c r="B323" s="716"/>
      <c r="C323" s="1228"/>
    </row>
    <row r="324" spans="2:3" x14ac:dyDescent="0.25">
      <c r="B324" s="716"/>
      <c r="C324" s="1228"/>
    </row>
    <row r="325" spans="2:3" x14ac:dyDescent="0.25">
      <c r="B325" s="716"/>
      <c r="C325" s="1228"/>
    </row>
    <row r="326" spans="2:3" x14ac:dyDescent="0.25">
      <c r="B326" s="716"/>
      <c r="C326" s="1228"/>
    </row>
    <row r="327" spans="2:3" x14ac:dyDescent="0.25">
      <c r="B327" s="716"/>
      <c r="C327" s="1228"/>
    </row>
    <row r="328" spans="2:3" x14ac:dyDescent="0.25">
      <c r="B328" s="716"/>
      <c r="C328" s="1228"/>
    </row>
    <row r="329" spans="2:3" x14ac:dyDescent="0.25">
      <c r="B329" s="716"/>
      <c r="C329" s="1228"/>
    </row>
    <row r="330" spans="2:3" x14ac:dyDescent="0.25">
      <c r="B330" s="716"/>
      <c r="C330" s="1228"/>
    </row>
    <row r="331" spans="2:3" x14ac:dyDescent="0.25">
      <c r="B331" s="716"/>
      <c r="C331" s="1228"/>
    </row>
    <row r="332" spans="2:3" x14ac:dyDescent="0.25">
      <c r="B332" s="716"/>
      <c r="C332" s="1228"/>
    </row>
    <row r="333" spans="2:3" x14ac:dyDescent="0.25">
      <c r="B333" s="716"/>
      <c r="C333" s="1228"/>
    </row>
    <row r="334" spans="2:3" x14ac:dyDescent="0.25">
      <c r="B334" s="716"/>
      <c r="C334" s="1228"/>
    </row>
    <row r="335" spans="2:3" x14ac:dyDescent="0.25">
      <c r="B335" s="716"/>
      <c r="C335" s="1228"/>
    </row>
    <row r="336" spans="2:3" x14ac:dyDescent="0.25">
      <c r="B336" s="716"/>
      <c r="C336" s="1228"/>
    </row>
    <row r="337" spans="1:3" x14ac:dyDescent="0.25">
      <c r="B337" s="716"/>
      <c r="C337" s="1228"/>
    </row>
    <row r="338" spans="1:3" x14ac:dyDescent="0.25">
      <c r="B338" s="716"/>
      <c r="C338" s="1228"/>
    </row>
    <row r="339" spans="1:3" x14ac:dyDescent="0.25">
      <c r="B339" s="716"/>
      <c r="C339" s="1228"/>
    </row>
    <row r="340" spans="1:3" x14ac:dyDescent="0.25">
      <c r="B340" s="716"/>
      <c r="C340" s="1228"/>
    </row>
    <row r="341" spans="1:3" x14ac:dyDescent="0.25">
      <c r="B341" s="716"/>
      <c r="C341" s="1228"/>
    </row>
    <row r="342" spans="1:3" x14ac:dyDescent="0.25">
      <c r="B342" s="716"/>
      <c r="C342" s="1228"/>
    </row>
    <row r="343" spans="1:3" x14ac:dyDescent="0.25">
      <c r="B343" s="716"/>
      <c r="C343" s="1228"/>
    </row>
    <row r="344" spans="1:3" x14ac:dyDescent="0.25">
      <c r="B344" s="716"/>
      <c r="C344" s="1228"/>
    </row>
    <row r="345" spans="1:3" x14ac:dyDescent="0.25">
      <c r="B345" s="716"/>
      <c r="C345" s="1228"/>
    </row>
    <row r="346" spans="1:3" x14ac:dyDescent="0.25">
      <c r="B346" s="716"/>
      <c r="C346" s="1228"/>
    </row>
    <row r="347" spans="1:3" x14ac:dyDescent="0.25">
      <c r="B347" s="716"/>
      <c r="C347" s="1228"/>
    </row>
    <row r="348" spans="1:3" x14ac:dyDescent="0.25">
      <c r="A348" s="716"/>
      <c r="B348" s="716"/>
      <c r="C348" s="1228"/>
    </row>
    <row r="349" spans="1:3" x14ac:dyDescent="0.25">
      <c r="B349" s="716"/>
    </row>
    <row r="350" spans="1:3" x14ac:dyDescent="0.25">
      <c r="B350" s="716"/>
      <c r="C350" s="1228"/>
    </row>
    <row r="351" spans="1:3" x14ac:dyDescent="0.25">
      <c r="B351" s="716"/>
      <c r="C351" s="1228"/>
    </row>
    <row r="352" spans="1:3" x14ac:dyDescent="0.25">
      <c r="B352" s="716"/>
      <c r="C352" s="1228"/>
    </row>
    <row r="353" spans="2:3" x14ac:dyDescent="0.25">
      <c r="B353" s="716"/>
      <c r="C353" s="1228"/>
    </row>
    <row r="354" spans="2:3" x14ac:dyDescent="0.25">
      <c r="B354" s="716"/>
      <c r="C354" s="1228"/>
    </row>
    <row r="355" spans="2:3" x14ac:dyDescent="0.25">
      <c r="B355" s="716"/>
      <c r="C355" s="1228"/>
    </row>
    <row r="356" spans="2:3" x14ac:dyDescent="0.25">
      <c r="B356" s="716"/>
      <c r="C356" s="1228"/>
    </row>
    <row r="357" spans="2:3" x14ac:dyDescent="0.25">
      <c r="B357" s="716"/>
      <c r="C357" s="1228"/>
    </row>
    <row r="358" spans="2:3" x14ac:dyDescent="0.25">
      <c r="B358" s="716"/>
      <c r="C358" s="1228"/>
    </row>
    <row r="359" spans="2:3" x14ac:dyDescent="0.25">
      <c r="B359" s="716"/>
      <c r="C359" s="1228"/>
    </row>
    <row r="360" spans="2:3" x14ac:dyDescent="0.25">
      <c r="B360" s="716"/>
      <c r="C360" s="1228"/>
    </row>
    <row r="361" spans="2:3" x14ac:dyDescent="0.25">
      <c r="B361" s="716"/>
      <c r="C361" s="1228"/>
    </row>
    <row r="362" spans="2:3" x14ac:dyDescent="0.25">
      <c r="B362" s="716"/>
      <c r="C362" s="1228"/>
    </row>
    <row r="363" spans="2:3" x14ac:dyDescent="0.25">
      <c r="B363" s="716"/>
      <c r="C363" s="1228"/>
    </row>
    <row r="364" spans="2:3" x14ac:dyDescent="0.25">
      <c r="B364" s="716"/>
      <c r="C364" s="1228"/>
    </row>
    <row r="365" spans="2:3" x14ac:dyDescent="0.25">
      <c r="B365" s="716"/>
      <c r="C365" s="1228"/>
    </row>
    <row r="366" spans="2:3" x14ac:dyDescent="0.25">
      <c r="B366" s="716"/>
      <c r="C366" s="1228"/>
    </row>
    <row r="367" spans="2:3" x14ac:dyDescent="0.25">
      <c r="B367" s="716"/>
      <c r="C367" s="1228"/>
    </row>
    <row r="368" spans="2:3" x14ac:dyDescent="0.25">
      <c r="B368" s="716"/>
      <c r="C368" s="1228"/>
    </row>
    <row r="369" spans="2:3" x14ac:dyDescent="0.25">
      <c r="B369" s="716"/>
      <c r="C369" s="1228"/>
    </row>
    <row r="370" spans="2:3" x14ac:dyDescent="0.25">
      <c r="B370" s="716"/>
      <c r="C370" s="1228"/>
    </row>
    <row r="371" spans="2:3" x14ac:dyDescent="0.25">
      <c r="B371" s="716"/>
      <c r="C371" s="1228"/>
    </row>
    <row r="372" spans="2:3" x14ac:dyDescent="0.25">
      <c r="B372" s="716"/>
      <c r="C372" s="1228"/>
    </row>
    <row r="373" spans="2:3" x14ac:dyDescent="0.25">
      <c r="B373" s="716"/>
      <c r="C373" s="1228"/>
    </row>
    <row r="374" spans="2:3" x14ac:dyDescent="0.25">
      <c r="B374" s="716"/>
      <c r="C374" s="1228"/>
    </row>
    <row r="375" spans="2:3" x14ac:dyDescent="0.25">
      <c r="B375" s="716"/>
      <c r="C375" s="1228"/>
    </row>
    <row r="376" spans="2:3" x14ac:dyDescent="0.25">
      <c r="B376" s="716"/>
      <c r="C376" s="1228"/>
    </row>
    <row r="377" spans="2:3" x14ac:dyDescent="0.25">
      <c r="B377" s="716"/>
      <c r="C377" s="1228"/>
    </row>
    <row r="378" spans="2:3" x14ac:dyDescent="0.25">
      <c r="B378" s="716"/>
      <c r="C378" s="1228"/>
    </row>
    <row r="379" spans="2:3" x14ac:dyDescent="0.25">
      <c r="B379" s="716"/>
      <c r="C379" s="1228"/>
    </row>
    <row r="380" spans="2:3" x14ac:dyDescent="0.25">
      <c r="B380" s="716"/>
    </row>
    <row r="381" spans="2:3" x14ac:dyDescent="0.25">
      <c r="B381" s="716"/>
      <c r="C381" s="1228"/>
    </row>
    <row r="382" spans="2:3" x14ac:dyDescent="0.25">
      <c r="B382" s="716"/>
      <c r="C382" s="1228"/>
    </row>
    <row r="383" spans="2:3" x14ac:dyDescent="0.25">
      <c r="B383" s="716"/>
      <c r="C383" s="1228"/>
    </row>
    <row r="384" spans="2:3" x14ac:dyDescent="0.25">
      <c r="B384" s="716"/>
    </row>
    <row r="385" spans="2:3" x14ac:dyDescent="0.25">
      <c r="B385" s="716"/>
      <c r="C385" s="1228"/>
    </row>
    <row r="386" spans="2:3" x14ac:dyDescent="0.25">
      <c r="B386" s="716"/>
    </row>
    <row r="387" spans="2:3" x14ac:dyDescent="0.25">
      <c r="B387" s="716"/>
    </row>
    <row r="388" spans="2:3" x14ac:dyDescent="0.25">
      <c r="B388" s="716"/>
      <c r="C388" s="1228"/>
    </row>
    <row r="389" spans="2:3" x14ac:dyDescent="0.25">
      <c r="B389" s="716"/>
      <c r="C389" s="1228"/>
    </row>
    <row r="390" spans="2:3" x14ac:dyDescent="0.25">
      <c r="B390" s="716"/>
      <c r="C390" s="1228"/>
    </row>
    <row r="391" spans="2:3" x14ac:dyDescent="0.25">
      <c r="B391" s="716"/>
      <c r="C391" s="1228"/>
    </row>
    <row r="392" spans="2:3" x14ac:dyDescent="0.25">
      <c r="B392" s="716"/>
      <c r="C392" s="1228"/>
    </row>
    <row r="393" spans="2:3" x14ac:dyDescent="0.25">
      <c r="B393" s="716"/>
      <c r="C393" s="1228"/>
    </row>
    <row r="394" spans="2:3" x14ac:dyDescent="0.25">
      <c r="B394" s="716"/>
      <c r="C394" s="1228"/>
    </row>
    <row r="395" spans="2:3" x14ac:dyDescent="0.25">
      <c r="B395" s="716"/>
      <c r="C395" s="1228"/>
    </row>
    <row r="396" spans="2:3" x14ac:dyDescent="0.25">
      <c r="B396" s="7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sqref="A1:N5"/>
    </sheetView>
  </sheetViews>
  <sheetFormatPr defaultColWidth="9.109375" defaultRowHeight="13.8" x14ac:dyDescent="0.3"/>
  <cols>
    <col min="1" max="1" width="44.5546875" style="108" bestFit="1" customWidth="1"/>
    <col min="2" max="13" width="12.44140625" style="108" bestFit="1" customWidth="1"/>
    <col min="14" max="14" width="13.5546875" style="108" bestFit="1" customWidth="1"/>
    <col min="15" max="15" width="10" style="108" bestFit="1" customWidth="1"/>
    <col min="16" max="16384" width="9.109375" style="108"/>
  </cols>
  <sheetData>
    <row r="1" spans="1:16" ht="12" customHeight="1" x14ac:dyDescent="0.3">
      <c r="A1" s="111"/>
      <c r="B1" s="111" t="s">
        <v>501</v>
      </c>
      <c r="E1" s="111" t="s">
        <v>72</v>
      </c>
      <c r="F1" s="111" t="s">
        <v>130</v>
      </c>
      <c r="G1" s="111"/>
      <c r="H1" s="111" t="s">
        <v>235</v>
      </c>
    </row>
    <row r="2" spans="1:16" x14ac:dyDescent="0.3">
      <c r="B2" s="174" t="s">
        <v>236</v>
      </c>
      <c r="C2" s="174" t="s">
        <v>63</v>
      </c>
      <c r="D2" s="174" t="s">
        <v>237</v>
      </c>
      <c r="E2" s="174" t="s">
        <v>238</v>
      </c>
      <c r="F2" s="174" t="s">
        <v>68</v>
      </c>
      <c r="G2" s="174" t="s">
        <v>239</v>
      </c>
      <c r="H2" s="174" t="s">
        <v>240</v>
      </c>
      <c r="I2" s="174" t="s">
        <v>241</v>
      </c>
      <c r="J2" s="174" t="s">
        <v>242</v>
      </c>
      <c r="K2" s="174" t="s">
        <v>243</v>
      </c>
      <c r="L2" s="174" t="s">
        <v>244</v>
      </c>
      <c r="M2" s="174" t="s">
        <v>245</v>
      </c>
      <c r="N2" s="174" t="s">
        <v>246</v>
      </c>
    </row>
    <row r="3" spans="1:16" x14ac:dyDescent="0.3">
      <c r="A3" s="111" t="s">
        <v>2</v>
      </c>
      <c r="B3" s="391">
        <v>14852.939999999999</v>
      </c>
      <c r="C3" s="391">
        <v>20676.87</v>
      </c>
      <c r="D3" s="391">
        <v>21487.610000000004</v>
      </c>
      <c r="E3" s="391">
        <v>21725.410000000003</v>
      </c>
      <c r="F3" s="391">
        <v>29326.980000000007</v>
      </c>
      <c r="G3" s="391">
        <v>8835.1799999999985</v>
      </c>
      <c r="H3" s="391" t="s">
        <v>45</v>
      </c>
      <c r="I3" s="391" t="s">
        <v>45</v>
      </c>
      <c r="J3" s="391" t="s">
        <v>45</v>
      </c>
      <c r="K3" s="391" t="s">
        <v>45</v>
      </c>
      <c r="L3" s="391" t="s">
        <v>45</v>
      </c>
      <c r="M3" s="391" t="s">
        <v>45</v>
      </c>
      <c r="N3" s="391">
        <v>116904.98999999996</v>
      </c>
    </row>
    <row r="4" spans="1:16" x14ac:dyDescent="0.3">
      <c r="A4" s="111" t="s">
        <v>17</v>
      </c>
      <c r="B4" s="391" t="s">
        <v>45</v>
      </c>
      <c r="C4" s="391" t="s">
        <v>45</v>
      </c>
      <c r="D4" s="391" t="s">
        <v>45</v>
      </c>
      <c r="E4" s="391" t="s">
        <v>45</v>
      </c>
      <c r="F4" s="391" t="s">
        <v>45</v>
      </c>
      <c r="G4" s="391" t="s">
        <v>45</v>
      </c>
      <c r="H4" s="391" t="s">
        <v>45</v>
      </c>
      <c r="I4" s="391" t="s">
        <v>45</v>
      </c>
      <c r="J4" s="391" t="s">
        <v>45</v>
      </c>
      <c r="K4" s="391" t="s">
        <v>45</v>
      </c>
      <c r="L4" s="391" t="s">
        <v>45</v>
      </c>
      <c r="M4" s="391" t="s">
        <v>45</v>
      </c>
      <c r="N4" s="391" t="s">
        <v>45</v>
      </c>
      <c r="O4" s="120"/>
      <c r="P4" s="120"/>
    </row>
    <row r="5" spans="1:16" x14ac:dyDescent="0.3">
      <c r="A5" s="111" t="s">
        <v>49</v>
      </c>
      <c r="B5" s="391" t="s">
        <v>45</v>
      </c>
      <c r="C5" s="391" t="s">
        <v>45</v>
      </c>
      <c r="D5" s="391" t="s">
        <v>45</v>
      </c>
      <c r="E5" s="391" t="s">
        <v>45</v>
      </c>
      <c r="F5" s="391" t="s">
        <v>45</v>
      </c>
      <c r="G5" s="391" t="s">
        <v>45</v>
      </c>
      <c r="H5" s="391" t="s">
        <v>45</v>
      </c>
      <c r="I5" s="391" t="s">
        <v>45</v>
      </c>
      <c r="J5" s="391" t="s">
        <v>45</v>
      </c>
      <c r="K5" s="391" t="s">
        <v>45</v>
      </c>
      <c r="L5" s="391" t="s">
        <v>45</v>
      </c>
      <c r="M5" s="391" t="s">
        <v>45</v>
      </c>
      <c r="N5" s="391" t="s">
        <v>45</v>
      </c>
    </row>
    <row r="6" spans="1:16" x14ac:dyDescent="0.3"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6" x14ac:dyDescent="0.3">
      <c r="A7" s="111" t="s">
        <v>258</v>
      </c>
      <c r="B7" s="112">
        <f>B3</f>
        <v>14852.939999999999</v>
      </c>
      <c r="C7" s="112">
        <f>B3+C3</f>
        <v>35529.81</v>
      </c>
      <c r="D7" s="112">
        <f t="shared" ref="D7:M7" si="0">C7+D3</f>
        <v>57017.42</v>
      </c>
      <c r="E7" s="112">
        <f t="shared" si="0"/>
        <v>78742.83</v>
      </c>
      <c r="F7" s="112">
        <f t="shared" si="0"/>
        <v>108069.81000000001</v>
      </c>
      <c r="G7" s="112">
        <f t="shared" si="0"/>
        <v>116904.99</v>
      </c>
      <c r="H7" s="112">
        <f t="shared" si="0"/>
        <v>116904.99</v>
      </c>
      <c r="I7" s="112">
        <f t="shared" si="0"/>
        <v>116904.99</v>
      </c>
      <c r="J7" s="112">
        <f t="shared" si="0"/>
        <v>116904.99</v>
      </c>
      <c r="K7" s="112">
        <f t="shared" si="0"/>
        <v>116904.99</v>
      </c>
      <c r="L7" s="112">
        <f t="shared" si="0"/>
        <v>116904.99</v>
      </c>
      <c r="M7" s="112">
        <f t="shared" si="0"/>
        <v>116904.99</v>
      </c>
      <c r="N7" s="117"/>
      <c r="O7" s="120">
        <f>SUM(C3:J3)</f>
        <v>102052.05</v>
      </c>
    </row>
    <row r="8" spans="1:16" x14ac:dyDescent="0.3">
      <c r="A8" s="111" t="s">
        <v>259</v>
      </c>
      <c r="B8" s="112" t="str">
        <f>B4</f>
        <v>0</v>
      </c>
      <c r="C8" s="112">
        <f>B4+C4</f>
        <v>0</v>
      </c>
      <c r="D8" s="112">
        <f t="shared" ref="D8:M8" si="1">C8+D4</f>
        <v>0</v>
      </c>
      <c r="E8" s="112">
        <f t="shared" si="1"/>
        <v>0</v>
      </c>
      <c r="F8" s="112">
        <f t="shared" si="1"/>
        <v>0</v>
      </c>
      <c r="G8" s="112">
        <f t="shared" si="1"/>
        <v>0</v>
      </c>
      <c r="H8" s="112">
        <f t="shared" si="1"/>
        <v>0</v>
      </c>
      <c r="I8" s="112">
        <f t="shared" si="1"/>
        <v>0</v>
      </c>
      <c r="J8" s="112">
        <f t="shared" si="1"/>
        <v>0</v>
      </c>
      <c r="K8" s="112">
        <f t="shared" si="1"/>
        <v>0</v>
      </c>
      <c r="L8" s="112">
        <f t="shared" si="1"/>
        <v>0</v>
      </c>
      <c r="M8" s="112">
        <f t="shared" si="1"/>
        <v>0</v>
      </c>
      <c r="N8" s="117"/>
      <c r="O8" s="805">
        <f>O7/8</f>
        <v>12756.50625</v>
      </c>
    </row>
    <row r="9" spans="1:16" x14ac:dyDescent="0.3">
      <c r="A9" s="111" t="s">
        <v>260</v>
      </c>
      <c r="B9" s="112" t="str">
        <f>B5</f>
        <v>0</v>
      </c>
      <c r="C9" s="112">
        <f>B5+C5</f>
        <v>0</v>
      </c>
      <c r="D9" s="112">
        <f t="shared" ref="D9:M9" si="2">C9+D5</f>
        <v>0</v>
      </c>
      <c r="E9" s="112">
        <f t="shared" si="2"/>
        <v>0</v>
      </c>
      <c r="F9" s="112">
        <f t="shared" si="2"/>
        <v>0</v>
      </c>
      <c r="G9" s="112">
        <f t="shared" si="2"/>
        <v>0</v>
      </c>
      <c r="H9" s="112">
        <f t="shared" si="2"/>
        <v>0</v>
      </c>
      <c r="I9" s="112">
        <f t="shared" si="2"/>
        <v>0</v>
      </c>
      <c r="J9" s="112">
        <f t="shared" si="2"/>
        <v>0</v>
      </c>
      <c r="K9" s="112">
        <f t="shared" si="2"/>
        <v>0</v>
      </c>
      <c r="L9" s="112">
        <f t="shared" si="2"/>
        <v>0</v>
      </c>
      <c r="M9" s="112">
        <f t="shared" si="2"/>
        <v>0</v>
      </c>
    </row>
    <row r="11" spans="1:16" x14ac:dyDescent="0.3">
      <c r="A11" s="110"/>
      <c r="C11" s="121"/>
      <c r="D11" s="121"/>
      <c r="E11" s="121"/>
      <c r="F11" s="121"/>
      <c r="G11" s="121"/>
      <c r="H11" s="121"/>
      <c r="I11" s="122"/>
      <c r="J11" s="120"/>
    </row>
    <row r="12" spans="1:16" x14ac:dyDescent="0.3">
      <c r="A12" s="110"/>
      <c r="B12" s="121"/>
      <c r="C12" s="173" t="s">
        <v>436</v>
      </c>
      <c r="D12" s="640" t="s">
        <v>72</v>
      </c>
      <c r="E12" s="641" t="s">
        <v>130</v>
      </c>
      <c r="F12" s="173"/>
      <c r="G12" s="642" t="s">
        <v>158</v>
      </c>
      <c r="H12" s="169"/>
      <c r="I12" s="121"/>
    </row>
    <row r="13" spans="1:16" x14ac:dyDescent="0.3">
      <c r="A13" s="321"/>
      <c r="B13" s="390" t="s">
        <v>236</v>
      </c>
      <c r="C13" s="390" t="s">
        <v>63</v>
      </c>
      <c r="D13" s="390" t="s">
        <v>237</v>
      </c>
      <c r="E13" s="390" t="s">
        <v>238</v>
      </c>
      <c r="F13" s="390" t="s">
        <v>68</v>
      </c>
      <c r="G13" s="390" t="s">
        <v>239</v>
      </c>
      <c r="H13" s="390" t="s">
        <v>240</v>
      </c>
      <c r="I13" s="390" t="s">
        <v>241</v>
      </c>
      <c r="J13" s="390" t="s">
        <v>242</v>
      </c>
      <c r="K13" s="390" t="s">
        <v>243</v>
      </c>
      <c r="L13" s="390" t="s">
        <v>244</v>
      </c>
      <c r="M13" s="390" t="s">
        <v>245</v>
      </c>
      <c r="N13" s="401" t="s">
        <v>261</v>
      </c>
    </row>
    <row r="14" spans="1:16" x14ac:dyDescent="0.3">
      <c r="A14" s="393" t="s">
        <v>2</v>
      </c>
      <c r="B14" s="323">
        <v>994198.15999999992</v>
      </c>
      <c r="C14" s="323">
        <v>52785.630000000034</v>
      </c>
      <c r="D14" s="340">
        <v>1646873.41</v>
      </c>
      <c r="E14" s="340">
        <v>951507.13000000012</v>
      </c>
      <c r="F14" s="545">
        <v>1215063.1099999999</v>
      </c>
      <c r="G14" s="545">
        <v>572525.28000000014</v>
      </c>
      <c r="H14" s="545">
        <v>1043290.5599999999</v>
      </c>
      <c r="I14" s="545">
        <v>1245703.9999999998</v>
      </c>
      <c r="J14" s="344">
        <v>956971.65</v>
      </c>
      <c r="K14" s="344">
        <v>963508.07999999984</v>
      </c>
      <c r="L14" s="344">
        <v>953891.97000000009</v>
      </c>
      <c r="M14" s="344">
        <v>923771.44</v>
      </c>
      <c r="N14" s="323">
        <v>11520090.42</v>
      </c>
    </row>
    <row r="15" spans="1:16" x14ac:dyDescent="0.3">
      <c r="A15" s="643" t="s">
        <v>3</v>
      </c>
      <c r="B15" s="323">
        <v>440027.09012390923</v>
      </c>
      <c r="C15" s="181">
        <v>1065704.7916246173</v>
      </c>
      <c r="D15" s="181">
        <v>1593561.6880268638</v>
      </c>
      <c r="E15" s="181">
        <v>963226.87973055535</v>
      </c>
      <c r="F15" s="181">
        <v>961564.34460366494</v>
      </c>
      <c r="G15" s="181">
        <v>1044975.4564358264</v>
      </c>
      <c r="H15" s="181">
        <v>963429.09908350487</v>
      </c>
      <c r="I15" s="181">
        <v>1504187.9668787078</v>
      </c>
      <c r="J15" s="323">
        <v>885425.17404158728</v>
      </c>
      <c r="K15" s="323">
        <v>1007273.4790294195</v>
      </c>
      <c r="L15" s="323">
        <v>1078583.4863405044</v>
      </c>
      <c r="M15" s="323">
        <v>1346932.8805389206</v>
      </c>
      <c r="N15" s="342">
        <v>12854892.336458081</v>
      </c>
    </row>
    <row r="16" spans="1:16" x14ac:dyDescent="0.3">
      <c r="A16" s="643" t="s">
        <v>49</v>
      </c>
      <c r="B16" s="344">
        <v>307240.72900189046</v>
      </c>
      <c r="C16" s="344">
        <v>938814.75929044548</v>
      </c>
      <c r="D16" s="344">
        <v>1677478.1921901433</v>
      </c>
      <c r="E16" s="344">
        <v>838981.5376221058</v>
      </c>
      <c r="F16" s="344">
        <v>919365.24845572957</v>
      </c>
      <c r="G16" s="344">
        <v>1148477.567141088</v>
      </c>
      <c r="H16" s="344">
        <v>831707.56907499197</v>
      </c>
      <c r="I16" s="344">
        <v>1209753.1666881754</v>
      </c>
      <c r="J16" s="344">
        <v>828106.08319162217</v>
      </c>
      <c r="K16" s="344">
        <v>890816.68884931423</v>
      </c>
      <c r="L16" s="344">
        <v>923208.35695863666</v>
      </c>
      <c r="M16" s="344">
        <v>1081049.8748459285</v>
      </c>
      <c r="N16" s="344">
        <v>11594999.773310071</v>
      </c>
    </row>
    <row r="17" spans="1:15" x14ac:dyDescent="0.3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5" s="133" customFormat="1" x14ac:dyDescent="0.3">
      <c r="A18" s="401" t="s">
        <v>262</v>
      </c>
      <c r="B18" s="323">
        <v>492631.94444444397</v>
      </c>
      <c r="C18" s="323">
        <v>492631.94444444397</v>
      </c>
      <c r="D18" s="323">
        <v>492631.94444444397</v>
      </c>
      <c r="E18" s="323">
        <v>492631.94444444397</v>
      </c>
      <c r="F18" s="323">
        <v>492631.94444444397</v>
      </c>
      <c r="G18" s="323">
        <v>492631.94444444397</v>
      </c>
      <c r="H18" s="323">
        <v>492631.94444444397</v>
      </c>
      <c r="I18" s="323">
        <v>492631.94444444397</v>
      </c>
      <c r="J18" s="323">
        <v>492631.94444444397</v>
      </c>
      <c r="K18" s="323">
        <v>492631.94444444397</v>
      </c>
      <c r="L18" s="323">
        <v>492631.94444444397</v>
      </c>
      <c r="M18" s="323">
        <v>492631.94444444397</v>
      </c>
      <c r="N18" s="342">
        <f>SUM(B18:M18)</f>
        <v>5911583.3333333274</v>
      </c>
    </row>
    <row r="19" spans="1:15" s="133" customFormat="1" x14ac:dyDescent="0.3">
      <c r="A19" s="108"/>
      <c r="B19" s="120">
        <f>B18</f>
        <v>492631.94444444397</v>
      </c>
      <c r="C19" s="120">
        <f t="shared" ref="C19:M19" si="3">B19+C18</f>
        <v>985263.88888888794</v>
      </c>
      <c r="D19" s="120">
        <f t="shared" si="3"/>
        <v>1477895.8333333319</v>
      </c>
      <c r="E19" s="120">
        <f t="shared" si="3"/>
        <v>1970527.7777777759</v>
      </c>
      <c r="F19" s="120">
        <f t="shared" si="3"/>
        <v>2463159.7222222197</v>
      </c>
      <c r="G19" s="120">
        <f t="shared" si="3"/>
        <v>2955791.6666666637</v>
      </c>
      <c r="H19" s="120">
        <f t="shared" si="3"/>
        <v>3448423.6111111077</v>
      </c>
      <c r="I19" s="120">
        <f t="shared" si="3"/>
        <v>3941055.5555555518</v>
      </c>
      <c r="J19" s="120">
        <f t="shared" si="3"/>
        <v>4433687.4999999953</v>
      </c>
      <c r="K19" s="120">
        <f t="shared" si="3"/>
        <v>4926319.4444444394</v>
      </c>
      <c r="L19" s="120">
        <f t="shared" si="3"/>
        <v>5418951.3888888834</v>
      </c>
      <c r="M19" s="120">
        <f t="shared" si="3"/>
        <v>5911583.3333333274</v>
      </c>
      <c r="N19" s="108"/>
    </row>
    <row r="20" spans="1:15" s="133" customFormat="1" x14ac:dyDescent="0.3">
      <c r="A20" s="111" t="s">
        <v>146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</row>
    <row r="21" spans="1:15" s="133" customFormat="1" x14ac:dyDescent="0.3">
      <c r="A21" s="111" t="s">
        <v>263</v>
      </c>
      <c r="B21" s="120">
        <f t="shared" ref="B21:M21" si="4">B3+B14+B18</f>
        <v>1501683.0444444439</v>
      </c>
      <c r="C21" s="120">
        <f t="shared" si="4"/>
        <v>566094.44444444403</v>
      </c>
      <c r="D21" s="120">
        <f t="shared" si="4"/>
        <v>2160992.964444444</v>
      </c>
      <c r="E21" s="120">
        <f t="shared" si="4"/>
        <v>1465864.4844444441</v>
      </c>
      <c r="F21" s="120">
        <f t="shared" si="4"/>
        <v>1737022.0344444439</v>
      </c>
      <c r="G21" s="120">
        <f t="shared" si="4"/>
        <v>1073992.4044444442</v>
      </c>
      <c r="H21" s="120">
        <f t="shared" si="4"/>
        <v>1535922.5044444439</v>
      </c>
      <c r="I21" s="120">
        <f t="shared" si="4"/>
        <v>1738335.9444444438</v>
      </c>
      <c r="J21" s="120">
        <f t="shared" si="4"/>
        <v>1449603.5944444439</v>
      </c>
      <c r="K21" s="120">
        <f t="shared" si="4"/>
        <v>1456140.0244444439</v>
      </c>
      <c r="L21" s="120">
        <f t="shared" si="4"/>
        <v>1446523.914444444</v>
      </c>
      <c r="M21" s="120">
        <f t="shared" si="4"/>
        <v>1416403.384444444</v>
      </c>
      <c r="N21" s="120">
        <f>SUM(B21:M21)</f>
        <v>17548578.743333332</v>
      </c>
    </row>
    <row r="22" spans="1:15" s="133" customFormat="1" x14ac:dyDescent="0.3">
      <c r="A22" s="111" t="s">
        <v>264</v>
      </c>
      <c r="B22" s="120">
        <f t="shared" ref="B22:M22" si="5">B4+B15</f>
        <v>440027.09012390923</v>
      </c>
      <c r="C22" s="120">
        <f t="shared" si="5"/>
        <v>1065704.7916246173</v>
      </c>
      <c r="D22" s="120">
        <f t="shared" si="5"/>
        <v>1593561.6880268638</v>
      </c>
      <c r="E22" s="120">
        <f t="shared" si="5"/>
        <v>963226.87973055535</v>
      </c>
      <c r="F22" s="120">
        <f t="shared" si="5"/>
        <v>961564.34460366494</v>
      </c>
      <c r="G22" s="120">
        <f t="shared" si="5"/>
        <v>1044975.4564358264</v>
      </c>
      <c r="H22" s="120">
        <f t="shared" si="5"/>
        <v>963429.09908350487</v>
      </c>
      <c r="I22" s="120">
        <f t="shared" si="5"/>
        <v>1504187.9668787078</v>
      </c>
      <c r="J22" s="120">
        <f t="shared" si="5"/>
        <v>885425.17404158728</v>
      </c>
      <c r="K22" s="120">
        <f t="shared" si="5"/>
        <v>1007273.4790294195</v>
      </c>
      <c r="L22" s="120">
        <f t="shared" si="5"/>
        <v>1078583.4863405044</v>
      </c>
      <c r="M22" s="120">
        <f t="shared" si="5"/>
        <v>1346932.8805389206</v>
      </c>
      <c r="N22" s="120">
        <f>SUM(B22:M22)</f>
        <v>12854892.336458081</v>
      </c>
    </row>
    <row r="23" spans="1:15" s="133" customFormat="1" x14ac:dyDescent="0.3">
      <c r="A23" s="111" t="s">
        <v>265</v>
      </c>
      <c r="B23" s="120">
        <f t="shared" ref="B23:M23" si="6">B5+B16+B20</f>
        <v>307240.72900189046</v>
      </c>
      <c r="C23" s="120">
        <f t="shared" si="6"/>
        <v>938814.75929044548</v>
      </c>
      <c r="D23" s="120">
        <f t="shared" si="6"/>
        <v>1677478.1921901433</v>
      </c>
      <c r="E23" s="120">
        <f t="shared" si="6"/>
        <v>838981.5376221058</v>
      </c>
      <c r="F23" s="120">
        <f t="shared" si="6"/>
        <v>919365.24845572957</v>
      </c>
      <c r="G23" s="120">
        <f t="shared" si="6"/>
        <v>1148477.567141088</v>
      </c>
      <c r="H23" s="120">
        <f t="shared" si="6"/>
        <v>831707.56907499197</v>
      </c>
      <c r="I23" s="120">
        <f t="shared" si="6"/>
        <v>1209753.1666881754</v>
      </c>
      <c r="J23" s="120">
        <f t="shared" si="6"/>
        <v>828106.08319162217</v>
      </c>
      <c r="K23" s="120">
        <f t="shared" si="6"/>
        <v>890816.68884931423</v>
      </c>
      <c r="L23" s="120">
        <f t="shared" si="6"/>
        <v>923208.35695863666</v>
      </c>
      <c r="M23" s="120">
        <f t="shared" si="6"/>
        <v>1081049.8748459285</v>
      </c>
      <c r="N23" s="120">
        <f>SUM(B23:M23)</f>
        <v>11594999.773310073</v>
      </c>
    </row>
    <row r="25" spans="1:15" x14ac:dyDescent="0.3">
      <c r="A25" s="111" t="s">
        <v>258</v>
      </c>
      <c r="B25" s="120">
        <f>B21</f>
        <v>1501683.0444444439</v>
      </c>
      <c r="C25" s="120">
        <f>B21+C21</f>
        <v>2067777.4888888879</v>
      </c>
      <c r="D25" s="120">
        <f t="shared" ref="D25:M25" si="7">C25+D21</f>
        <v>4228770.4533333322</v>
      </c>
      <c r="E25" s="120">
        <f t="shared" si="7"/>
        <v>5694634.9377777763</v>
      </c>
      <c r="F25" s="120">
        <f t="shared" si="7"/>
        <v>7431656.9722222202</v>
      </c>
      <c r="G25" s="120">
        <f t="shared" si="7"/>
        <v>8505649.3766666651</v>
      </c>
      <c r="H25" s="120">
        <f t="shared" si="7"/>
        <v>10041571.88111111</v>
      </c>
      <c r="I25" s="139">
        <f t="shared" si="7"/>
        <v>11779907.825555554</v>
      </c>
      <c r="J25" s="120">
        <f t="shared" si="7"/>
        <v>13229511.419999998</v>
      </c>
      <c r="K25" s="120">
        <f t="shared" si="7"/>
        <v>14685651.444444442</v>
      </c>
      <c r="L25" s="120">
        <f t="shared" si="7"/>
        <v>16132175.358888887</v>
      </c>
      <c r="M25" s="120">
        <f t="shared" si="7"/>
        <v>17548578.743333332</v>
      </c>
      <c r="N25" s="120"/>
    </row>
    <row r="26" spans="1:15" x14ac:dyDescent="0.3">
      <c r="A26" s="111" t="s">
        <v>259</v>
      </c>
      <c r="B26" s="120">
        <f>B22</f>
        <v>440027.09012390923</v>
      </c>
      <c r="C26" s="120">
        <f>B22+C22</f>
        <v>1505731.8817485266</v>
      </c>
      <c r="D26" s="120">
        <f t="shared" ref="D26:M26" si="8">C26+D22</f>
        <v>3099293.5697753904</v>
      </c>
      <c r="E26" s="120">
        <f t="shared" si="8"/>
        <v>4062520.4495059457</v>
      </c>
      <c r="F26" s="120">
        <f t="shared" si="8"/>
        <v>5024084.7941096108</v>
      </c>
      <c r="G26" s="120">
        <f t="shared" si="8"/>
        <v>6069060.2505454374</v>
      </c>
      <c r="H26" s="120">
        <f t="shared" si="8"/>
        <v>7032489.3496289421</v>
      </c>
      <c r="I26" s="139">
        <f t="shared" si="8"/>
        <v>8536677.3165076505</v>
      </c>
      <c r="J26" s="120">
        <f t="shared" si="8"/>
        <v>9422102.4905492384</v>
      </c>
      <c r="K26" s="120">
        <f t="shared" si="8"/>
        <v>10429375.969578657</v>
      </c>
      <c r="L26" s="120">
        <f t="shared" si="8"/>
        <v>11507959.455919161</v>
      </c>
      <c r="M26" s="120">
        <f t="shared" si="8"/>
        <v>12854892.336458081</v>
      </c>
      <c r="N26" s="120"/>
      <c r="O26" s="120"/>
    </row>
    <row r="27" spans="1:15" x14ac:dyDescent="0.3">
      <c r="A27" s="111" t="s">
        <v>260</v>
      </c>
      <c r="B27" s="120">
        <f>B23</f>
        <v>307240.72900189046</v>
      </c>
      <c r="C27" s="120">
        <f>B23+C23</f>
        <v>1246055.488292336</v>
      </c>
      <c r="D27" s="120">
        <f t="shared" ref="D27:M27" si="9">C27+D23</f>
        <v>2923533.6804824793</v>
      </c>
      <c r="E27" s="120">
        <f t="shared" si="9"/>
        <v>3762515.2181045851</v>
      </c>
      <c r="F27" s="120">
        <f t="shared" si="9"/>
        <v>4681880.4665603144</v>
      </c>
      <c r="G27" s="120">
        <f t="shared" si="9"/>
        <v>5830358.0337014021</v>
      </c>
      <c r="H27" s="120">
        <f t="shared" si="9"/>
        <v>6662065.6027763942</v>
      </c>
      <c r="I27" s="139">
        <f t="shared" si="9"/>
        <v>7871818.7694645692</v>
      </c>
      <c r="J27" s="120">
        <f t="shared" si="9"/>
        <v>8699924.8526561912</v>
      </c>
      <c r="K27" s="120">
        <f t="shared" si="9"/>
        <v>9590741.5415055063</v>
      </c>
      <c r="L27" s="120">
        <f t="shared" si="9"/>
        <v>10513949.898464143</v>
      </c>
      <c r="M27" s="120">
        <f t="shared" si="9"/>
        <v>11594999.773310073</v>
      </c>
      <c r="N27" s="120"/>
      <c r="O27" s="120"/>
    </row>
    <row r="28" spans="1:15" x14ac:dyDescent="0.3">
      <c r="I28" s="110"/>
      <c r="O28" s="120"/>
    </row>
    <row r="29" spans="1:15" x14ac:dyDescent="0.3">
      <c r="I29" s="139"/>
    </row>
  </sheetData>
  <pageMargins left="0.7" right="0.7" top="0.75" bottom="0.75" header="0.3" footer="0.3"/>
  <pageSetup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K9" sqref="K9"/>
    </sheetView>
  </sheetViews>
  <sheetFormatPr defaultRowHeight="13.2" x14ac:dyDescent="0.25"/>
  <sheetData>
    <row r="1" spans="1:15" x14ac:dyDescent="0.25">
      <c r="A1" t="s">
        <v>507</v>
      </c>
      <c r="B1" t="s">
        <v>508</v>
      </c>
      <c r="C1" t="s">
        <v>509</v>
      </c>
      <c r="D1" t="s">
        <v>510</v>
      </c>
      <c r="E1" t="s">
        <v>511</v>
      </c>
      <c r="F1" t="s">
        <v>512</v>
      </c>
      <c r="G1" t="s">
        <v>513</v>
      </c>
      <c r="H1" t="s">
        <v>514</v>
      </c>
      <c r="I1" t="s">
        <v>515</v>
      </c>
      <c r="J1" t="s">
        <v>516</v>
      </c>
      <c r="K1" t="s">
        <v>517</v>
      </c>
      <c r="L1" t="s">
        <v>518</v>
      </c>
      <c r="M1" t="s">
        <v>519</v>
      </c>
      <c r="N1" t="s">
        <v>520</v>
      </c>
      <c r="O1" t="s">
        <v>521</v>
      </c>
    </row>
    <row r="2" spans="1:15" hidden="1" x14ac:dyDescent="0.25">
      <c r="A2">
        <v>2017</v>
      </c>
      <c r="B2">
        <v>1</v>
      </c>
      <c r="C2" t="s">
        <v>522</v>
      </c>
      <c r="D2" t="s">
        <v>523</v>
      </c>
      <c r="E2">
        <v>2431</v>
      </c>
      <c r="F2">
        <v>70020</v>
      </c>
      <c r="G2">
        <v>99999900</v>
      </c>
      <c r="H2">
        <v>70002</v>
      </c>
      <c r="I2" t="s">
        <v>524</v>
      </c>
      <c r="J2">
        <v>1</v>
      </c>
      <c r="K2">
        <v>998198</v>
      </c>
      <c r="L2" s="1230">
        <v>-1534.05</v>
      </c>
      <c r="M2" t="s">
        <v>525</v>
      </c>
      <c r="N2" t="s">
        <v>526</v>
      </c>
      <c r="O2" s="1230">
        <v>-1534.05</v>
      </c>
    </row>
    <row r="3" spans="1:15" x14ac:dyDescent="0.25">
      <c r="A3">
        <v>2017</v>
      </c>
      <c r="B3">
        <v>1</v>
      </c>
      <c r="C3" t="s">
        <v>522</v>
      </c>
      <c r="D3" t="s">
        <v>523</v>
      </c>
      <c r="E3">
        <v>2431</v>
      </c>
      <c r="F3">
        <v>70020</v>
      </c>
      <c r="G3">
        <v>99999900</v>
      </c>
      <c r="H3">
        <v>70002</v>
      </c>
      <c r="I3" t="s">
        <v>524</v>
      </c>
      <c r="J3">
        <v>46</v>
      </c>
      <c r="K3">
        <v>998198</v>
      </c>
      <c r="L3" s="1230">
        <v>1534.05</v>
      </c>
      <c r="M3" t="s">
        <v>525</v>
      </c>
      <c r="N3" t="s">
        <v>526</v>
      </c>
      <c r="O3" s="1230">
        <v>1534.05</v>
      </c>
    </row>
    <row r="4" spans="1:15" x14ac:dyDescent="0.25">
      <c r="A4">
        <v>2017</v>
      </c>
      <c r="B4">
        <v>1</v>
      </c>
      <c r="C4" t="s">
        <v>522</v>
      </c>
      <c r="D4" t="s">
        <v>523</v>
      </c>
      <c r="E4">
        <v>2431</v>
      </c>
      <c r="F4">
        <v>70020</v>
      </c>
      <c r="G4">
        <v>99999900</v>
      </c>
      <c r="H4">
        <v>70002</v>
      </c>
      <c r="I4" t="s">
        <v>524</v>
      </c>
      <c r="J4">
        <v>149</v>
      </c>
      <c r="K4">
        <v>998198</v>
      </c>
      <c r="L4" s="1230">
        <v>1534.05</v>
      </c>
      <c r="M4" t="s">
        <v>527</v>
      </c>
      <c r="N4" t="s">
        <v>526</v>
      </c>
      <c r="O4" s="1230">
        <v>1534.05</v>
      </c>
    </row>
    <row r="5" spans="1:15" x14ac:dyDescent="0.25">
      <c r="A5">
        <v>2017</v>
      </c>
      <c r="B5">
        <v>2</v>
      </c>
      <c r="C5" t="s">
        <v>522</v>
      </c>
      <c r="D5" t="s">
        <v>523</v>
      </c>
      <c r="E5">
        <v>2431</v>
      </c>
      <c r="F5">
        <v>70020</v>
      </c>
      <c r="G5">
        <v>99999900</v>
      </c>
      <c r="H5">
        <v>70002</v>
      </c>
      <c r="I5" t="s">
        <v>524</v>
      </c>
      <c r="J5">
        <v>1</v>
      </c>
      <c r="K5">
        <v>998198</v>
      </c>
      <c r="L5" s="1230">
        <v>1534.05</v>
      </c>
      <c r="M5" t="s">
        <v>528</v>
      </c>
      <c r="N5" t="s">
        <v>526</v>
      </c>
      <c r="O5" s="1230">
        <v>1534.05</v>
      </c>
    </row>
    <row r="6" spans="1:15" x14ac:dyDescent="0.25">
      <c r="A6">
        <v>2017</v>
      </c>
      <c r="B6">
        <v>2</v>
      </c>
      <c r="C6" t="s">
        <v>522</v>
      </c>
      <c r="D6" t="s">
        <v>523</v>
      </c>
      <c r="E6">
        <v>2431</v>
      </c>
      <c r="F6">
        <v>70020</v>
      </c>
      <c r="G6">
        <v>99999900</v>
      </c>
      <c r="H6">
        <v>70002</v>
      </c>
      <c r="I6" t="s">
        <v>524</v>
      </c>
      <c r="J6">
        <v>20</v>
      </c>
      <c r="K6">
        <v>998198</v>
      </c>
      <c r="L6" s="1230">
        <v>-1534.05</v>
      </c>
      <c r="M6" t="s">
        <v>529</v>
      </c>
      <c r="N6" t="s">
        <v>526</v>
      </c>
      <c r="O6" s="1230">
        <v>-1534.05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95" zoomScaleNormal="95" workbookViewId="0">
      <selection activeCell="B44" sqref="B44"/>
    </sheetView>
  </sheetViews>
  <sheetFormatPr defaultColWidth="9.109375" defaultRowHeight="13.8" x14ac:dyDescent="0.3"/>
  <cols>
    <col min="1" max="1" width="53" style="110" bestFit="1" customWidth="1"/>
    <col min="2" max="2" width="15.44140625" style="129" customWidth="1"/>
    <col min="3" max="3" width="14.6640625" style="129" bestFit="1" customWidth="1"/>
    <col min="4" max="8" width="15.6640625" style="129" bestFit="1" customWidth="1"/>
    <col min="9" max="9" width="14.109375" style="110" customWidth="1"/>
    <col min="10" max="10" width="15" style="110" bestFit="1" customWidth="1"/>
    <col min="11" max="16384" width="9.109375" style="110"/>
  </cols>
  <sheetData>
    <row r="1" spans="1:11" x14ac:dyDescent="0.3">
      <c r="B1" s="121" t="s">
        <v>72</v>
      </c>
      <c r="C1" s="121"/>
      <c r="D1" s="121"/>
      <c r="E1" s="121"/>
      <c r="F1" s="121"/>
      <c r="G1" s="121"/>
      <c r="H1" s="121"/>
      <c r="I1" s="122"/>
    </row>
    <row r="2" spans="1:11" x14ac:dyDescent="0.3">
      <c r="B2" s="121"/>
      <c r="C2" s="169" t="s">
        <v>268</v>
      </c>
      <c r="D2" s="169" t="s">
        <v>268</v>
      </c>
      <c r="E2" s="169" t="s">
        <v>268</v>
      </c>
      <c r="F2" s="169" t="s">
        <v>268</v>
      </c>
      <c r="G2" s="169" t="s">
        <v>268</v>
      </c>
      <c r="H2" s="169" t="s">
        <v>268</v>
      </c>
      <c r="I2" s="121" t="s">
        <v>220</v>
      </c>
    </row>
    <row r="3" spans="1:11" x14ac:dyDescent="0.3">
      <c r="B3" s="121"/>
      <c r="C3" s="169" t="s">
        <v>63</v>
      </c>
      <c r="D3" s="169" t="s">
        <v>63</v>
      </c>
      <c r="E3" s="169" t="s">
        <v>269</v>
      </c>
      <c r="F3" s="169" t="s">
        <v>269</v>
      </c>
      <c r="G3" s="366" t="s">
        <v>53</v>
      </c>
      <c r="H3" s="121" t="s">
        <v>53</v>
      </c>
      <c r="I3" s="122" t="s">
        <v>53</v>
      </c>
    </row>
    <row r="4" spans="1:11" x14ac:dyDescent="0.3">
      <c r="B4" s="123"/>
      <c r="C4" s="123" t="s">
        <v>2</v>
      </c>
      <c r="D4" s="123" t="s">
        <v>3</v>
      </c>
      <c r="E4" s="123" t="s">
        <v>2</v>
      </c>
      <c r="F4" s="123" t="s">
        <v>3</v>
      </c>
      <c r="G4" s="123" t="s">
        <v>49</v>
      </c>
      <c r="H4" s="123" t="s">
        <v>3</v>
      </c>
      <c r="I4" s="123" t="s">
        <v>2</v>
      </c>
      <c r="K4" s="124"/>
    </row>
    <row r="5" spans="1:11" x14ac:dyDescent="0.3">
      <c r="A5" s="110" t="s">
        <v>124</v>
      </c>
      <c r="B5" s="368" t="s">
        <v>123</v>
      </c>
      <c r="C5" s="125">
        <v>419943.35000000003</v>
      </c>
      <c r="D5" s="125">
        <v>509092.39348990296</v>
      </c>
      <c r="E5" s="125">
        <v>569427.11</v>
      </c>
      <c r="F5" s="125">
        <v>898909.38866235083</v>
      </c>
      <c r="G5" s="125" t="s">
        <v>45</v>
      </c>
      <c r="H5" s="125">
        <v>7000219.9639898669</v>
      </c>
      <c r="I5" s="125">
        <v>6376761.3000000007</v>
      </c>
      <c r="K5" s="124"/>
    </row>
    <row r="6" spans="1:11" x14ac:dyDescent="0.3">
      <c r="A6" s="110" t="s">
        <v>136</v>
      </c>
      <c r="B6" s="368" t="s">
        <v>123</v>
      </c>
      <c r="C6" s="178">
        <v>853.34999999999991</v>
      </c>
      <c r="D6" s="125" t="s">
        <v>45</v>
      </c>
      <c r="E6" s="178">
        <v>0</v>
      </c>
      <c r="F6" s="125" t="s">
        <v>45</v>
      </c>
      <c r="G6" s="125" t="s">
        <v>45</v>
      </c>
      <c r="H6" s="125" t="s">
        <v>45</v>
      </c>
      <c r="I6" s="178">
        <v>283987.58</v>
      </c>
      <c r="K6" s="124"/>
    </row>
    <row r="7" spans="1:11" x14ac:dyDescent="0.3">
      <c r="A7" s="108" t="s">
        <v>257</v>
      </c>
      <c r="B7" s="368" t="s">
        <v>123</v>
      </c>
      <c r="C7" s="178">
        <v>1084.0500000000002</v>
      </c>
      <c r="D7" s="178">
        <v>8655.205128205127</v>
      </c>
      <c r="E7" s="178">
        <v>1538.67</v>
      </c>
      <c r="F7" s="178">
        <v>15066.141025641024</v>
      </c>
      <c r="G7" s="125" t="s">
        <v>45</v>
      </c>
      <c r="H7" s="178">
        <v>208351</v>
      </c>
      <c r="I7" s="178">
        <v>70256.98000000001</v>
      </c>
      <c r="K7" s="124"/>
    </row>
    <row r="8" spans="1:11" x14ac:dyDescent="0.3">
      <c r="A8" s="367" t="s">
        <v>121</v>
      </c>
      <c r="B8" s="369" t="s">
        <v>123</v>
      </c>
      <c r="C8" s="176">
        <v>14431.210000000001</v>
      </c>
      <c r="D8" s="114">
        <v>13034.609759843304</v>
      </c>
      <c r="E8" s="176">
        <v>19439.260000000002</v>
      </c>
      <c r="F8" s="114">
        <v>18267.411188613612</v>
      </c>
      <c r="G8" s="114" t="s">
        <v>45</v>
      </c>
      <c r="H8" s="114">
        <v>299999.92112049501</v>
      </c>
      <c r="I8" s="114">
        <v>219013.59</v>
      </c>
      <c r="K8" s="124"/>
    </row>
    <row r="9" spans="1:11" x14ac:dyDescent="0.3">
      <c r="A9" s="367" t="s">
        <v>122</v>
      </c>
      <c r="B9" s="369" t="s">
        <v>123</v>
      </c>
      <c r="C9" s="176">
        <v>1560609.08</v>
      </c>
      <c r="D9" s="176">
        <v>2020841.1915174783</v>
      </c>
      <c r="E9" s="176">
        <v>2165054.87</v>
      </c>
      <c r="F9" s="176">
        <v>3895303.5231564548</v>
      </c>
      <c r="G9" s="114" t="s">
        <v>45</v>
      </c>
      <c r="H9" s="176">
        <v>24672581.491693996</v>
      </c>
      <c r="I9" s="114">
        <v>13318584</v>
      </c>
      <c r="K9" s="124"/>
    </row>
    <row r="10" spans="1:11" x14ac:dyDescent="0.3">
      <c r="A10" s="110" t="s">
        <v>125</v>
      </c>
      <c r="B10" s="368" t="s">
        <v>123</v>
      </c>
      <c r="C10" s="178">
        <v>1490578.5200000003</v>
      </c>
      <c r="D10" s="125">
        <v>1443108.7487969908</v>
      </c>
      <c r="E10" s="178">
        <v>1943629.14</v>
      </c>
      <c r="F10" s="125">
        <v>2052001.736376557</v>
      </c>
      <c r="G10" s="125" t="s">
        <v>45</v>
      </c>
      <c r="H10" s="125">
        <v>18336044.818069413</v>
      </c>
      <c r="I10" s="125">
        <v>16504602.51</v>
      </c>
      <c r="K10" s="124"/>
    </row>
    <row r="11" spans="1:11" x14ac:dyDescent="0.3">
      <c r="A11" s="110" t="s">
        <v>132</v>
      </c>
      <c r="B11" s="368" t="s">
        <v>123</v>
      </c>
      <c r="C11" s="178">
        <v>2676169.3000000003</v>
      </c>
      <c r="D11" s="125">
        <v>3132764.2192412731</v>
      </c>
      <c r="E11" s="178">
        <v>5232059.0100000007</v>
      </c>
      <c r="F11" s="125">
        <v>5980579.2495680954</v>
      </c>
      <c r="G11" s="125" t="s">
        <v>45</v>
      </c>
      <c r="H11" s="125">
        <v>39901845.025117993</v>
      </c>
      <c r="I11" s="125">
        <v>36090888</v>
      </c>
      <c r="K11" s="124"/>
    </row>
    <row r="12" spans="1:11" x14ac:dyDescent="0.3">
      <c r="A12" s="110" t="s">
        <v>126</v>
      </c>
      <c r="B12" s="368" t="s">
        <v>123</v>
      </c>
      <c r="C12" s="178">
        <v>1818898.87</v>
      </c>
      <c r="D12" s="125">
        <v>1932688.3376370894</v>
      </c>
      <c r="E12" s="178">
        <v>2420088.4099999997</v>
      </c>
      <c r="F12" s="125">
        <v>2818334.0470037539</v>
      </c>
      <c r="G12" s="125" t="s">
        <v>45</v>
      </c>
      <c r="H12" s="125">
        <v>23380302.419055611</v>
      </c>
      <c r="I12" s="125">
        <v>21279523.620000001</v>
      </c>
      <c r="K12" s="124"/>
    </row>
    <row r="13" spans="1:11" x14ac:dyDescent="0.3">
      <c r="A13" s="110" t="s">
        <v>137</v>
      </c>
      <c r="B13" s="368" t="s">
        <v>123</v>
      </c>
      <c r="C13" s="178">
        <v>280050.06</v>
      </c>
      <c r="D13" s="125">
        <v>312063.93334667059</v>
      </c>
      <c r="E13" s="178">
        <v>385678.8</v>
      </c>
      <c r="F13" s="125">
        <v>427196.89307100256</v>
      </c>
      <c r="G13" s="125" t="s">
        <v>45</v>
      </c>
      <c r="H13" s="125">
        <v>3541170.8143547489</v>
      </c>
      <c r="I13" s="125">
        <v>3339477.83</v>
      </c>
      <c r="K13" s="124"/>
    </row>
    <row r="14" spans="1:11" x14ac:dyDescent="0.3">
      <c r="A14" s="110" t="s">
        <v>138</v>
      </c>
      <c r="B14" s="368" t="s">
        <v>123</v>
      </c>
      <c r="C14" s="178">
        <v>100122.20999999999</v>
      </c>
      <c r="D14" s="125">
        <v>119514.21705473457</v>
      </c>
      <c r="E14" s="178">
        <v>124236.18999999999</v>
      </c>
      <c r="F14" s="125">
        <v>210885.16830349414</v>
      </c>
      <c r="G14" s="125" t="s">
        <v>45</v>
      </c>
      <c r="H14" s="125">
        <v>1442859.8734755253</v>
      </c>
      <c r="I14" s="125">
        <v>1346307.18</v>
      </c>
      <c r="K14" s="124"/>
    </row>
    <row r="15" spans="1:11" x14ac:dyDescent="0.3">
      <c r="A15" s="110" t="s">
        <v>133</v>
      </c>
      <c r="B15" s="368" t="s">
        <v>123</v>
      </c>
      <c r="C15" s="178">
        <v>509646.55</v>
      </c>
      <c r="D15" s="125">
        <v>475769.53169228404</v>
      </c>
      <c r="E15" s="178">
        <v>702260.60999999987</v>
      </c>
      <c r="F15" s="125">
        <v>712673.25757745199</v>
      </c>
      <c r="G15" s="125" t="s">
        <v>45</v>
      </c>
      <c r="H15" s="125">
        <v>6571565.973848233</v>
      </c>
      <c r="I15" s="125">
        <v>5759611.1499999994</v>
      </c>
      <c r="K15" s="124"/>
    </row>
    <row r="16" spans="1:11" x14ac:dyDescent="0.3">
      <c r="A16" s="110" t="s">
        <v>139</v>
      </c>
      <c r="B16" s="368" t="s">
        <v>123</v>
      </c>
      <c r="C16" s="178">
        <v>49883.439999999995</v>
      </c>
      <c r="D16" s="125">
        <v>55386.805232896775</v>
      </c>
      <c r="E16" s="178">
        <v>1085570.71</v>
      </c>
      <c r="F16" s="125">
        <v>1096007.3782743737</v>
      </c>
      <c r="G16" s="125" t="s">
        <v>45</v>
      </c>
      <c r="H16" s="125">
        <v>5024790.6501587303</v>
      </c>
      <c r="I16" s="125">
        <v>3990616.7399999998</v>
      </c>
      <c r="K16" s="124"/>
    </row>
    <row r="17" spans="1:11" x14ac:dyDescent="0.3">
      <c r="A17" s="110" t="s">
        <v>140</v>
      </c>
      <c r="B17" s="368" t="s">
        <v>123</v>
      </c>
      <c r="C17" s="178">
        <v>1896.93</v>
      </c>
      <c r="D17" s="125">
        <v>0</v>
      </c>
      <c r="E17" s="178">
        <v>4891.93</v>
      </c>
      <c r="F17" s="125">
        <v>0</v>
      </c>
      <c r="G17" s="125" t="s">
        <v>45</v>
      </c>
      <c r="H17" s="125">
        <v>756500</v>
      </c>
      <c r="I17" s="125">
        <v>701295.72000000009</v>
      </c>
      <c r="K17" s="124"/>
    </row>
    <row r="18" spans="1:11" x14ac:dyDescent="0.3">
      <c r="A18" s="370" t="s">
        <v>134</v>
      </c>
      <c r="B18" s="371" t="s">
        <v>123</v>
      </c>
      <c r="C18" s="198">
        <v>-500937.79</v>
      </c>
      <c r="D18" s="126">
        <v>793415.87743157288</v>
      </c>
      <c r="E18" s="198">
        <v>4144555.79</v>
      </c>
      <c r="F18" s="126">
        <v>5065526.2952937726</v>
      </c>
      <c r="G18" s="126" t="s">
        <v>45</v>
      </c>
      <c r="H18" s="126">
        <v>10534705.618317619</v>
      </c>
      <c r="I18" s="126">
        <v>6879867.54</v>
      </c>
      <c r="K18" s="124"/>
    </row>
    <row r="19" spans="1:11" x14ac:dyDescent="0.3">
      <c r="A19" s="372" t="s">
        <v>158</v>
      </c>
      <c r="B19" s="373" t="s">
        <v>123</v>
      </c>
      <c r="C19" s="199">
        <v>8423229.1300000008</v>
      </c>
      <c r="D19" s="199">
        <v>10816335.070328942</v>
      </c>
      <c r="E19" s="199">
        <v>18798430.5</v>
      </c>
      <c r="F19" s="199">
        <v>23190750.489501558</v>
      </c>
      <c r="G19" s="374" t="s">
        <v>45</v>
      </c>
      <c r="H19" s="199">
        <v>141670937.56920224</v>
      </c>
      <c r="I19" s="199">
        <v>116160793.74000001</v>
      </c>
      <c r="K19" s="124"/>
    </row>
    <row r="20" spans="1:11" x14ac:dyDescent="0.3">
      <c r="B20" s="125"/>
      <c r="C20" s="125"/>
      <c r="D20" s="125"/>
      <c r="E20" s="125"/>
      <c r="F20" s="125"/>
      <c r="G20" s="125"/>
      <c r="H20" s="125"/>
      <c r="I20" s="125"/>
      <c r="J20" s="112"/>
      <c r="K20" s="124"/>
    </row>
    <row r="21" spans="1:11" x14ac:dyDescent="0.3">
      <c r="B21" s="108"/>
      <c r="C21" s="125"/>
      <c r="D21" s="125"/>
      <c r="E21" s="125"/>
      <c r="F21" s="125"/>
      <c r="G21" s="125"/>
      <c r="H21" s="125"/>
      <c r="I21" s="124"/>
      <c r="J21" s="112"/>
      <c r="K21" s="124"/>
    </row>
    <row r="22" spans="1:11" x14ac:dyDescent="0.3">
      <c r="A22" s="118" t="s">
        <v>159</v>
      </c>
      <c r="B22" s="127"/>
      <c r="C22" s="119">
        <f t="shared" ref="C22:I22" si="0">C19-C9-C8</f>
        <v>6848188.8400000008</v>
      </c>
      <c r="D22" s="119">
        <f t="shared" si="0"/>
        <v>8782459.2690516207</v>
      </c>
      <c r="E22" s="119">
        <f t="shared" si="0"/>
        <v>16613936.369999999</v>
      </c>
      <c r="F22" s="119">
        <f t="shared" si="0"/>
        <v>19277179.555156488</v>
      </c>
      <c r="G22" s="119">
        <f t="shared" si="0"/>
        <v>0</v>
      </c>
      <c r="H22" s="119">
        <f t="shared" si="0"/>
        <v>116698356.15638775</v>
      </c>
      <c r="I22" s="119">
        <f t="shared" si="0"/>
        <v>102623196.15000001</v>
      </c>
      <c r="J22" s="124"/>
      <c r="K22" s="124"/>
    </row>
    <row r="23" spans="1:11" x14ac:dyDescent="0.3">
      <c r="B23" s="125"/>
      <c r="C23" s="125"/>
      <c r="D23" s="125"/>
      <c r="E23" s="125"/>
      <c r="F23" s="125"/>
      <c r="G23" s="125"/>
      <c r="H23" s="125"/>
      <c r="I23" s="124"/>
      <c r="J23" s="124"/>
      <c r="K23" s="124"/>
    </row>
    <row r="24" spans="1:11" x14ac:dyDescent="0.3">
      <c r="B24" s="125"/>
      <c r="C24" s="125"/>
      <c r="D24" s="125"/>
      <c r="E24" s="125"/>
      <c r="F24" s="125"/>
      <c r="G24" s="125"/>
      <c r="H24" s="125"/>
      <c r="I24" s="124"/>
      <c r="J24" s="124"/>
      <c r="K24" s="124"/>
    </row>
    <row r="25" spans="1:11" x14ac:dyDescent="0.3">
      <c r="A25" s="128" t="s">
        <v>127</v>
      </c>
      <c r="B25" s="128" t="s">
        <v>130</v>
      </c>
      <c r="C25" s="128">
        <f>pension!D30</f>
        <v>427182.18999999994</v>
      </c>
      <c r="D25" s="128">
        <f>pension!E30</f>
        <v>0</v>
      </c>
      <c r="E25" s="128">
        <f>pension!G30</f>
        <v>3602075.4499999997</v>
      </c>
      <c r="F25" s="128">
        <f>pension!H30</f>
        <v>0</v>
      </c>
      <c r="G25" s="128">
        <f>pension!J30</f>
        <v>0</v>
      </c>
      <c r="H25" s="128">
        <f>pension!K30</f>
        <v>0</v>
      </c>
      <c r="I25" s="128">
        <f>pension!L30</f>
        <v>3658292.59</v>
      </c>
      <c r="J25" s="124"/>
      <c r="K25" s="124"/>
    </row>
    <row r="26" spans="1:11" x14ac:dyDescent="0.3">
      <c r="B26" s="125"/>
    </row>
    <row r="27" spans="1:11" x14ac:dyDescent="0.3">
      <c r="A27" s="108"/>
      <c r="B27" s="113"/>
      <c r="C27" s="113"/>
      <c r="D27" s="113"/>
      <c r="E27" s="113"/>
      <c r="F27" s="113"/>
      <c r="G27" s="113"/>
      <c r="H27" s="113"/>
      <c r="I27" s="124"/>
      <c r="J27" s="124"/>
      <c r="K27" s="124"/>
    </row>
    <row r="28" spans="1:11" s="142" customFormat="1" x14ac:dyDescent="0.3">
      <c r="A28" s="306" t="s">
        <v>252</v>
      </c>
      <c r="B28" s="131"/>
      <c r="C28" s="131">
        <f t="shared" ref="C28:I28" si="1">C22-C25</f>
        <v>6421006.6500000004</v>
      </c>
      <c r="D28" s="131">
        <f t="shared" si="1"/>
        <v>8782459.2690516207</v>
      </c>
      <c r="E28" s="131">
        <f t="shared" si="1"/>
        <v>13011860.92</v>
      </c>
      <c r="F28" s="131">
        <f t="shared" si="1"/>
        <v>19277179.555156488</v>
      </c>
      <c r="G28" s="131">
        <f t="shared" si="1"/>
        <v>0</v>
      </c>
      <c r="H28" s="131">
        <f t="shared" si="1"/>
        <v>116698356.15638775</v>
      </c>
      <c r="I28" s="131">
        <f t="shared" si="1"/>
        <v>98964903.560000002</v>
      </c>
      <c r="J28" s="171"/>
      <c r="K28" s="171"/>
    </row>
    <row r="29" spans="1:11" x14ac:dyDescent="0.3">
      <c r="A29" s="108"/>
      <c r="B29" s="130"/>
      <c r="C29" s="112"/>
      <c r="D29" s="112"/>
      <c r="E29" s="112"/>
      <c r="F29" s="112"/>
      <c r="G29" s="112"/>
      <c r="H29" s="112"/>
      <c r="I29" s="124"/>
      <c r="J29" s="124"/>
      <c r="K29" s="124"/>
    </row>
    <row r="30" spans="1:11" x14ac:dyDescent="0.3">
      <c r="A30" s="108"/>
      <c r="B30" s="109"/>
      <c r="C30" s="109"/>
      <c r="D30" s="109"/>
      <c r="E30" s="109"/>
      <c r="F30" s="109"/>
      <c r="G30" s="109"/>
      <c r="H30" s="109"/>
    </row>
  </sheetData>
  <pageMargins left="0.25" right="0.25" top="1" bottom="1" header="0.5" footer="0.5"/>
  <pageSetup scale="77" orientation="landscape" r:id="rId1"/>
  <headerFooter alignWithMargins="0">
    <oddFooter>&amp;L&amp;Z&amp;F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="93" zoomScaleNormal="93" workbookViewId="0">
      <selection activeCell="D13" sqref="D13"/>
    </sheetView>
  </sheetViews>
  <sheetFormatPr defaultColWidth="9.109375" defaultRowHeight="13.8" x14ac:dyDescent="0.3"/>
  <cols>
    <col min="1" max="1" width="53" style="108" bestFit="1" customWidth="1"/>
    <col min="2" max="2" width="18" style="109" customWidth="1"/>
    <col min="3" max="3" width="14.88671875" style="109" bestFit="1" customWidth="1"/>
    <col min="4" max="4" width="15.88671875" style="109" bestFit="1" customWidth="1"/>
    <col min="5" max="5" width="13.6640625" style="108" bestFit="1" customWidth="1"/>
    <col min="6" max="7" width="11.88671875" style="108" bestFit="1" customWidth="1"/>
    <col min="8" max="9" width="12.88671875" style="108" bestFit="1" customWidth="1"/>
    <col min="10" max="14" width="11.88671875" style="108" bestFit="1" customWidth="1"/>
    <col min="15" max="15" width="10.88671875" style="108" bestFit="1" customWidth="1"/>
    <col min="16" max="16384" width="9.109375" style="108"/>
  </cols>
  <sheetData>
    <row r="1" spans="1:15" x14ac:dyDescent="0.3">
      <c r="A1" s="112"/>
      <c r="C1" s="108"/>
      <c r="D1" s="112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3">
      <c r="B2" s="366" t="s">
        <v>72</v>
      </c>
      <c r="C2" s="132" t="s">
        <v>64</v>
      </c>
      <c r="D2" s="132"/>
      <c r="E2" s="132"/>
      <c r="F2" s="132"/>
      <c r="G2" s="132"/>
      <c r="H2" s="132"/>
      <c r="I2" s="117"/>
      <c r="J2" s="117"/>
      <c r="K2" s="117"/>
      <c r="L2" s="117"/>
      <c r="M2" s="117"/>
      <c r="N2" s="117"/>
      <c r="O2" s="117"/>
    </row>
    <row r="3" spans="1:15" x14ac:dyDescent="0.3">
      <c r="B3" s="132" t="s">
        <v>268</v>
      </c>
      <c r="C3" s="132" t="s">
        <v>268</v>
      </c>
      <c r="D3" s="132" t="s">
        <v>268</v>
      </c>
      <c r="E3" s="132" t="s">
        <v>268</v>
      </c>
      <c r="F3" s="132" t="s">
        <v>268</v>
      </c>
      <c r="G3" s="132" t="s">
        <v>268</v>
      </c>
      <c r="H3" s="132" t="s">
        <v>220</v>
      </c>
      <c r="I3" s="117"/>
      <c r="J3" s="117"/>
      <c r="K3" s="117"/>
      <c r="L3" s="117"/>
      <c r="M3" s="117"/>
      <c r="N3" s="117"/>
      <c r="O3" s="117"/>
    </row>
    <row r="4" spans="1:15" x14ac:dyDescent="0.3">
      <c r="B4" s="169" t="s">
        <v>63</v>
      </c>
      <c r="C4" s="169" t="s">
        <v>63</v>
      </c>
      <c r="D4" s="132" t="s">
        <v>269</v>
      </c>
      <c r="E4" s="132" t="s">
        <v>269</v>
      </c>
      <c r="F4" s="132" t="s">
        <v>53</v>
      </c>
      <c r="G4" s="132" t="s">
        <v>53</v>
      </c>
      <c r="H4" s="132" t="s">
        <v>53</v>
      </c>
      <c r="J4" s="117"/>
      <c r="K4" s="117"/>
      <c r="L4" s="117"/>
      <c r="M4" s="117"/>
      <c r="N4" s="117"/>
      <c r="O4" s="117"/>
    </row>
    <row r="5" spans="1:15" x14ac:dyDescent="0.3">
      <c r="B5" s="366" t="s">
        <v>2</v>
      </c>
      <c r="C5" s="366" t="s">
        <v>3</v>
      </c>
      <c r="D5" s="366" t="s">
        <v>2</v>
      </c>
      <c r="E5" s="366" t="s">
        <v>3</v>
      </c>
      <c r="F5" s="366" t="s">
        <v>49</v>
      </c>
      <c r="G5" s="366" t="s">
        <v>3</v>
      </c>
      <c r="H5" s="366" t="s">
        <v>2</v>
      </c>
    </row>
    <row r="6" spans="1:15" x14ac:dyDescent="0.3">
      <c r="A6" s="108" t="s">
        <v>124</v>
      </c>
      <c r="B6" s="112">
        <v>740</v>
      </c>
      <c r="C6" s="112">
        <v>-2083.3333333333335</v>
      </c>
      <c r="D6" s="172">
        <v>740</v>
      </c>
      <c r="E6" s="112">
        <v>-4166.666666666667</v>
      </c>
      <c r="F6" s="112" t="s">
        <v>45</v>
      </c>
      <c r="G6" s="112">
        <v>-24999.999999999996</v>
      </c>
      <c r="H6" s="112">
        <v>-110514.5</v>
      </c>
    </row>
    <row r="7" spans="1:15" x14ac:dyDescent="0.3">
      <c r="A7" s="108" t="s">
        <v>125</v>
      </c>
      <c r="B7" s="112">
        <v>-129158.75</v>
      </c>
      <c r="C7" s="172">
        <v>-212300</v>
      </c>
      <c r="D7" s="172">
        <v>-171245</v>
      </c>
      <c r="E7" s="172">
        <v>-424600</v>
      </c>
      <c r="F7" s="112" t="s">
        <v>45</v>
      </c>
      <c r="G7" s="172">
        <v>-2547605</v>
      </c>
      <c r="H7" s="112">
        <v>-2309241.42</v>
      </c>
    </row>
    <row r="8" spans="1:15" x14ac:dyDescent="0.3">
      <c r="A8" s="108" t="s">
        <v>132</v>
      </c>
      <c r="B8" s="112" t="s">
        <v>45</v>
      </c>
      <c r="C8" s="112" t="s">
        <v>45</v>
      </c>
      <c r="D8" s="112" t="s">
        <v>45</v>
      </c>
      <c r="E8" s="112" t="s">
        <v>45</v>
      </c>
      <c r="F8" s="112" t="s">
        <v>45</v>
      </c>
      <c r="G8" s="112" t="s">
        <v>45</v>
      </c>
      <c r="H8" s="172">
        <v>-17722.5</v>
      </c>
    </row>
    <row r="9" spans="1:15" x14ac:dyDescent="0.3">
      <c r="A9" s="108" t="s">
        <v>126</v>
      </c>
      <c r="B9" s="112">
        <v>-14000</v>
      </c>
      <c r="C9" s="112" t="s">
        <v>45</v>
      </c>
      <c r="D9" s="172">
        <v>-28000</v>
      </c>
      <c r="E9" s="112" t="s">
        <v>45</v>
      </c>
      <c r="F9" s="112" t="s">
        <v>45</v>
      </c>
      <c r="G9" s="112" t="s">
        <v>45</v>
      </c>
      <c r="H9" s="112">
        <v>-208910</v>
      </c>
    </row>
    <row r="10" spans="1:15" x14ac:dyDescent="0.3">
      <c r="A10" s="133" t="s">
        <v>137</v>
      </c>
      <c r="B10" s="116">
        <v>-31182.5</v>
      </c>
      <c r="C10" s="116">
        <v>-9375</v>
      </c>
      <c r="D10" s="116">
        <v>-33212.5</v>
      </c>
      <c r="E10" s="116">
        <v>-18750</v>
      </c>
      <c r="F10" s="116" t="s">
        <v>45</v>
      </c>
      <c r="G10" s="116">
        <v>-112500</v>
      </c>
      <c r="H10" s="116">
        <v>-228359.5</v>
      </c>
      <c r="I10" s="133"/>
    </row>
    <row r="11" spans="1:15" x14ac:dyDescent="0.3">
      <c r="A11" s="321" t="s">
        <v>133</v>
      </c>
      <c r="B11" s="322" t="s">
        <v>45</v>
      </c>
      <c r="C11" s="322" t="s">
        <v>45</v>
      </c>
      <c r="D11" s="322" t="s">
        <v>45</v>
      </c>
      <c r="E11" s="322" t="s">
        <v>45</v>
      </c>
      <c r="F11" s="322" t="s">
        <v>45</v>
      </c>
      <c r="G11" s="322" t="s">
        <v>45</v>
      </c>
      <c r="H11" s="322" t="s">
        <v>45</v>
      </c>
      <c r="I11" s="133"/>
    </row>
    <row r="12" spans="1:15" x14ac:dyDescent="0.3">
      <c r="A12" s="133" t="s">
        <v>134</v>
      </c>
      <c r="B12" s="116" t="s">
        <v>45</v>
      </c>
      <c r="C12" s="116" t="s">
        <v>45</v>
      </c>
      <c r="D12" s="116" t="s">
        <v>45</v>
      </c>
      <c r="E12" s="116" t="s">
        <v>45</v>
      </c>
      <c r="F12" s="116" t="s">
        <v>45</v>
      </c>
      <c r="G12" s="116" t="s">
        <v>45</v>
      </c>
      <c r="H12" s="116">
        <v>-16330.75</v>
      </c>
      <c r="I12" s="116"/>
    </row>
    <row r="13" spans="1:15" s="115" customFormat="1" x14ac:dyDescent="0.3">
      <c r="A13" s="306" t="s">
        <v>158</v>
      </c>
      <c r="B13" s="131">
        <v>-173601.25</v>
      </c>
      <c r="C13" s="131">
        <v>-223758.33333333334</v>
      </c>
      <c r="D13" s="131">
        <v>-231717.5</v>
      </c>
      <c r="E13" s="131">
        <v>-447516.66666666669</v>
      </c>
      <c r="F13" s="131" t="s">
        <v>45</v>
      </c>
      <c r="G13" s="131">
        <v>-2685105</v>
      </c>
      <c r="H13" s="131">
        <v>-2891078.67</v>
      </c>
      <c r="I13" s="134"/>
    </row>
    <row r="14" spans="1:15" x14ac:dyDescent="0.3">
      <c r="A14" s="133"/>
      <c r="B14" s="133"/>
      <c r="C14" s="116"/>
      <c r="D14" s="116"/>
      <c r="E14" s="116"/>
      <c r="F14" s="116"/>
      <c r="G14" s="116"/>
      <c r="H14" s="116"/>
      <c r="I14" s="116"/>
    </row>
    <row r="15" spans="1:15" x14ac:dyDescent="0.3">
      <c r="B15" s="108"/>
      <c r="C15" s="112"/>
      <c r="D15" s="112"/>
      <c r="E15" s="112"/>
      <c r="F15" s="112"/>
      <c r="G15" s="112"/>
      <c r="H15" s="112"/>
      <c r="I15" s="112"/>
    </row>
    <row r="16" spans="1:15" x14ac:dyDescent="0.3">
      <c r="B16" s="108"/>
      <c r="C16" s="112"/>
      <c r="D16" s="112"/>
      <c r="E16" s="112"/>
      <c r="F16" s="112"/>
      <c r="G16" s="112"/>
      <c r="H16" s="112"/>
      <c r="I16" s="112"/>
    </row>
    <row r="17" spans="2:9" x14ac:dyDescent="0.3">
      <c r="B17" s="108"/>
      <c r="C17" s="112"/>
      <c r="D17" s="112"/>
      <c r="E17" s="112"/>
      <c r="F17" s="112"/>
      <c r="G17" s="112"/>
      <c r="H17" s="112"/>
      <c r="I17" s="112"/>
    </row>
  </sheetData>
  <pageMargins left="0.25" right="0.25" top="1" bottom="1" header="0.5" footer="0.5"/>
  <pageSetup scale="89" orientation="landscape" r:id="rId1"/>
  <headerFooter alignWithMargins="0">
    <oddFooter>&amp;L&amp;Z&amp;F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1" sqref="A31"/>
    </sheetView>
  </sheetViews>
  <sheetFormatPr defaultColWidth="9.109375" defaultRowHeight="13.8" x14ac:dyDescent="0.3"/>
  <cols>
    <col min="1" max="1" width="30.44140625" style="110" customWidth="1"/>
    <col min="2" max="2" width="15.6640625" style="143" bestFit="1" customWidth="1"/>
    <col min="3" max="3" width="15.6640625" style="143" customWidth="1"/>
    <col min="4" max="4" width="15" style="336" bestFit="1" customWidth="1"/>
    <col min="5" max="7" width="14.6640625" style="138" customWidth="1"/>
    <col min="8" max="8" width="37" style="138" bestFit="1" customWidth="1"/>
    <col min="9" max="9" width="16" style="138" bestFit="1" customWidth="1"/>
    <col min="10" max="10" width="16.109375" style="143" bestFit="1" customWidth="1"/>
    <col min="11" max="11" width="15" style="110" customWidth="1"/>
    <col min="12" max="12" width="15.6640625" style="110" customWidth="1"/>
    <col min="13" max="13" width="13.109375" style="110" bestFit="1" customWidth="1"/>
    <col min="14" max="16384" width="9.109375" style="110"/>
  </cols>
  <sheetData>
    <row r="1" spans="1:13" x14ac:dyDescent="0.3">
      <c r="B1" s="411" t="s">
        <v>1</v>
      </c>
      <c r="C1" s="412" t="s">
        <v>72</v>
      </c>
      <c r="D1" s="453"/>
      <c r="E1" s="135"/>
      <c r="F1" s="135"/>
      <c r="G1" s="135"/>
      <c r="H1" s="135"/>
      <c r="I1" s="135"/>
      <c r="J1" s="136"/>
    </row>
    <row r="2" spans="1:13" x14ac:dyDescent="0.3">
      <c r="B2" s="413" t="s">
        <v>268</v>
      </c>
      <c r="C2" s="413" t="s">
        <v>268</v>
      </c>
      <c r="D2" s="414" t="s">
        <v>268</v>
      </c>
      <c r="E2" s="413" t="s">
        <v>268</v>
      </c>
      <c r="F2" s="413" t="s">
        <v>268</v>
      </c>
      <c r="G2" s="413" t="s">
        <v>268</v>
      </c>
      <c r="H2" s="413" t="s">
        <v>268</v>
      </c>
      <c r="I2" s="413" t="s">
        <v>220</v>
      </c>
      <c r="J2" s="413" t="s">
        <v>220</v>
      </c>
      <c r="K2" s="406"/>
      <c r="L2" s="413" t="s">
        <v>220</v>
      </c>
      <c r="M2" s="406"/>
    </row>
    <row r="3" spans="1:13" x14ac:dyDescent="0.3">
      <c r="B3" s="415" t="s">
        <v>271</v>
      </c>
      <c r="C3" s="415" t="s">
        <v>271</v>
      </c>
      <c r="D3" s="416" t="s">
        <v>269</v>
      </c>
      <c r="E3" s="415" t="s">
        <v>269</v>
      </c>
      <c r="F3" s="415" t="s">
        <v>53</v>
      </c>
      <c r="G3" s="415" t="s">
        <v>53</v>
      </c>
      <c r="H3" s="415" t="s">
        <v>53</v>
      </c>
      <c r="I3" s="415" t="s">
        <v>53</v>
      </c>
      <c r="J3" s="411" t="s">
        <v>53</v>
      </c>
      <c r="K3" s="406"/>
      <c r="L3" s="415" t="s">
        <v>53</v>
      </c>
      <c r="M3" s="406"/>
    </row>
    <row r="4" spans="1:13" x14ac:dyDescent="0.3">
      <c r="B4" s="411" t="s">
        <v>2</v>
      </c>
      <c r="C4" s="415" t="s">
        <v>3</v>
      </c>
      <c r="D4" s="416" t="s">
        <v>2</v>
      </c>
      <c r="E4" s="415" t="s">
        <v>3</v>
      </c>
      <c r="F4" s="415" t="s">
        <v>2</v>
      </c>
      <c r="G4" s="417" t="s">
        <v>49</v>
      </c>
      <c r="H4" s="415" t="s">
        <v>3</v>
      </c>
      <c r="I4" s="415" t="s">
        <v>2</v>
      </c>
      <c r="J4" s="411" t="s">
        <v>3</v>
      </c>
      <c r="K4" s="406"/>
      <c r="L4" s="415" t="s">
        <v>2</v>
      </c>
      <c r="M4" s="406"/>
    </row>
    <row r="5" spans="1:13" x14ac:dyDescent="0.3">
      <c r="A5" s="418" t="s">
        <v>187</v>
      </c>
      <c r="B5" s="454">
        <v>-54283614.120000005</v>
      </c>
      <c r="C5" s="162">
        <v>-53760611.678343914</v>
      </c>
      <c r="D5" s="328">
        <v>-53069520.010000005</v>
      </c>
      <c r="E5" s="163">
        <v>-53423478.741793729</v>
      </c>
      <c r="F5" s="163">
        <v>-53069520.010000005</v>
      </c>
      <c r="G5" s="419" t="s">
        <v>45</v>
      </c>
      <c r="H5" s="419">
        <v>-47208664.727338955</v>
      </c>
      <c r="I5" s="163">
        <v>-54927615.729999997</v>
      </c>
      <c r="J5" s="162">
        <v>73350.02916907589</v>
      </c>
      <c r="K5" s="418"/>
      <c r="L5" s="163">
        <v>-54927615.729999997</v>
      </c>
    </row>
    <row r="6" spans="1:13" x14ac:dyDescent="0.3">
      <c r="A6" s="408" t="s">
        <v>188</v>
      </c>
      <c r="B6" s="455">
        <v>-64943692.560000002</v>
      </c>
      <c r="C6" s="156">
        <v>-64941403</v>
      </c>
      <c r="D6" s="331">
        <v>-65345092.289999999</v>
      </c>
      <c r="E6" s="157">
        <v>-65341403</v>
      </c>
      <c r="F6" s="157">
        <v>-65345092.289999999</v>
      </c>
      <c r="G6" s="422" t="s">
        <v>45</v>
      </c>
      <c r="H6" s="422">
        <v>-69341403</v>
      </c>
      <c r="I6" s="157">
        <v>-64541402.999999985</v>
      </c>
      <c r="J6" s="156">
        <v>-61199498.619999997</v>
      </c>
      <c r="K6" s="408"/>
      <c r="L6" s="157">
        <v>-64541402.999999985</v>
      </c>
    </row>
    <row r="7" spans="1:13" x14ac:dyDescent="0.3">
      <c r="A7" s="423" t="s">
        <v>234</v>
      </c>
      <c r="B7" s="294">
        <v>65359333.369999997</v>
      </c>
      <c r="C7" s="375">
        <v>65400084.490740739</v>
      </c>
      <c r="D7" s="333">
        <v>64842666.739999995</v>
      </c>
      <c r="E7" s="376">
        <v>64924168.981481478</v>
      </c>
      <c r="F7" s="295">
        <v>64842666.739999995</v>
      </c>
      <c r="G7" s="424" t="s">
        <v>45</v>
      </c>
      <c r="H7" s="424">
        <v>60165013.888888866</v>
      </c>
      <c r="I7" s="376">
        <v>65876000.00000003</v>
      </c>
      <c r="J7" s="375">
        <v>60457048.611111075</v>
      </c>
      <c r="L7" s="376">
        <v>65876000.00000003</v>
      </c>
      <c r="M7" s="356"/>
    </row>
    <row r="8" spans="1:13" x14ac:dyDescent="0.3">
      <c r="D8" s="334"/>
      <c r="E8" s="143"/>
      <c r="F8" s="143"/>
      <c r="G8" s="143"/>
      <c r="H8" s="143">
        <f>I5-H5</f>
        <v>-7718951.0026610419</v>
      </c>
      <c r="I8" s="143"/>
    </row>
    <row r="9" spans="1:13" x14ac:dyDescent="0.3">
      <c r="D9" s="335"/>
      <c r="J9" s="143" t="s">
        <v>348</v>
      </c>
    </row>
    <row r="10" spans="1:13" ht="15.6" x14ac:dyDescent="0.3">
      <c r="H10" s="458">
        <v>2012</v>
      </c>
      <c r="I10"/>
      <c r="J10" s="143" t="s">
        <v>349</v>
      </c>
    </row>
    <row r="11" spans="1:13" ht="28.8" x14ac:dyDescent="0.3">
      <c r="H11" s="382" t="s">
        <v>288</v>
      </c>
      <c r="I11" s="383" t="s">
        <v>289</v>
      </c>
    </row>
    <row r="12" spans="1:13" x14ac:dyDescent="0.3">
      <c r="H12" s="459" t="s">
        <v>291</v>
      </c>
      <c r="I12" s="460">
        <v>-60706</v>
      </c>
      <c r="J12" s="303"/>
    </row>
    <row r="13" spans="1:13" x14ac:dyDescent="0.3">
      <c r="H13" s="459" t="s">
        <v>292</v>
      </c>
      <c r="I13" s="460">
        <v>-4395</v>
      </c>
      <c r="J13" s="304"/>
    </row>
    <row r="14" spans="1:13" x14ac:dyDescent="0.3">
      <c r="A14" t="s">
        <v>308</v>
      </c>
      <c r="B14" s="452">
        <v>70939</v>
      </c>
      <c r="C14" s="456">
        <v>3823</v>
      </c>
      <c r="D14" s="456"/>
      <c r="H14" s="459" t="s">
        <v>293</v>
      </c>
      <c r="I14" s="460">
        <v>-775</v>
      </c>
    </row>
    <row r="15" spans="1:13" x14ac:dyDescent="0.3">
      <c r="A15" t="s">
        <v>309</v>
      </c>
      <c r="B15" s="452">
        <f>B14/12</f>
        <v>5911.583333333333</v>
      </c>
      <c r="C15" s="452">
        <f>C14/12</f>
        <v>318.58333333333331</v>
      </c>
      <c r="D15"/>
      <c r="H15" s="459" t="s">
        <v>294</v>
      </c>
      <c r="I15" s="460">
        <v>0</v>
      </c>
    </row>
    <row r="16" spans="1:13" x14ac:dyDescent="0.3">
      <c r="A16" t="s">
        <v>310</v>
      </c>
      <c r="B16" s="452">
        <f>B14-B15</f>
        <v>65027.416666666664</v>
      </c>
      <c r="C16" s="452">
        <f>C14-C15</f>
        <v>3504.4166666666665</v>
      </c>
      <c r="D16"/>
      <c r="H16" s="461" t="s">
        <v>295</v>
      </c>
      <c r="I16" s="462">
        <v>-65876</v>
      </c>
    </row>
    <row r="17" spans="1:11" ht="14.4" x14ac:dyDescent="0.3">
      <c r="A17" t="s">
        <v>311</v>
      </c>
      <c r="B17" s="452">
        <f>B16/12</f>
        <v>5418.9513888888887</v>
      </c>
      <c r="C17" s="452">
        <f>C16/12</f>
        <v>292.03472222222223</v>
      </c>
      <c r="D17"/>
      <c r="H17" s="384" t="s">
        <v>296</v>
      </c>
      <c r="I17" s="463">
        <v>0</v>
      </c>
    </row>
    <row r="18" spans="1:11" ht="15" thickBot="1" x14ac:dyDescent="0.35">
      <c r="A18" t="s">
        <v>312</v>
      </c>
      <c r="B18" s="452">
        <f>B16-B17</f>
        <v>59608.465277777774</v>
      </c>
      <c r="C18" s="452">
        <f>C16-C17</f>
        <v>3212.3819444444443</v>
      </c>
      <c r="D18" s="457">
        <f>SUM(B18:C18)</f>
        <v>62820.847222222219</v>
      </c>
      <c r="H18" s="385" t="s">
        <v>297</v>
      </c>
      <c r="I18" s="386">
        <v>-65876</v>
      </c>
    </row>
    <row r="19" spans="1:11" ht="14.4" thickTop="1" x14ac:dyDescent="0.3"/>
    <row r="21" spans="1:11" x14ac:dyDescent="0.3">
      <c r="H21" s="141" t="s">
        <v>353</v>
      </c>
      <c r="J21" s="143" t="s">
        <v>352</v>
      </c>
    </row>
    <row r="22" spans="1:11" x14ac:dyDescent="0.3">
      <c r="H22" s="138" t="s">
        <v>350</v>
      </c>
      <c r="I22" s="138">
        <f>I12+I14</f>
        <v>-61481</v>
      </c>
      <c r="J22" s="143">
        <v>5419</v>
      </c>
      <c r="K22" s="138">
        <f>SUM(I22:J22)</f>
        <v>-56062</v>
      </c>
    </row>
    <row r="23" spans="1:11" x14ac:dyDescent="0.3">
      <c r="H23" s="138" t="s">
        <v>351</v>
      </c>
      <c r="I23" s="138">
        <f>I13</f>
        <v>-4395</v>
      </c>
      <c r="J23" s="143">
        <v>292</v>
      </c>
      <c r="K23" s="138">
        <f>SUM(I23:J23)</f>
        <v>-4103</v>
      </c>
    </row>
    <row r="24" spans="1:11" x14ac:dyDescent="0.3">
      <c r="K24" s="138">
        <f>SUM(K22:K23)</f>
        <v>-60165</v>
      </c>
    </row>
    <row r="26" spans="1:11" x14ac:dyDescent="0.3">
      <c r="H26" s="141" t="s">
        <v>354</v>
      </c>
      <c r="I26" s="464">
        <f>I5/1000</f>
        <v>-54927.615729999998</v>
      </c>
      <c r="J26" s="465">
        <v>7718</v>
      </c>
      <c r="K26" s="464">
        <f>J26+I26</f>
        <v>-47209.615729999998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28"/>
  <sheetViews>
    <sheetView zoomScaleNormal="100" workbookViewId="0">
      <selection activeCell="L53" sqref="L53"/>
    </sheetView>
  </sheetViews>
  <sheetFormatPr defaultColWidth="8.88671875" defaultRowHeight="13.8" x14ac:dyDescent="0.3"/>
  <cols>
    <col min="1" max="1" width="37.5546875" style="108" customWidth="1"/>
    <col min="2" max="2" width="21" style="108" customWidth="1"/>
    <col min="3" max="3" width="12.44140625" style="108" bestFit="1" customWidth="1"/>
    <col min="4" max="4" width="13.5546875" style="108" bestFit="1" customWidth="1"/>
    <col min="5" max="5" width="12.44140625" style="108" bestFit="1" customWidth="1"/>
    <col min="6" max="8" width="13.5546875" style="108" bestFit="1" customWidth="1"/>
    <col min="9" max="10" width="14.5546875" style="108" bestFit="1" customWidth="1"/>
    <col min="11" max="16384" width="8.88671875" style="108"/>
  </cols>
  <sheetData>
    <row r="1" spans="1:10" x14ac:dyDescent="0.3">
      <c r="A1" s="177" t="s">
        <v>218</v>
      </c>
    </row>
    <row r="2" spans="1:10" x14ac:dyDescent="0.3">
      <c r="C2" s="109"/>
      <c r="D2" s="109"/>
      <c r="E2" s="109" t="s">
        <v>268</v>
      </c>
      <c r="G2" s="109" t="s">
        <v>72</v>
      </c>
      <c r="H2" s="109"/>
      <c r="I2" s="109"/>
      <c r="J2" s="109"/>
    </row>
    <row r="3" spans="1:10" x14ac:dyDescent="0.3">
      <c r="B3" s="111"/>
      <c r="C3" s="109" t="s">
        <v>272</v>
      </c>
      <c r="D3" s="109" t="s">
        <v>272</v>
      </c>
      <c r="E3" s="109" t="s">
        <v>272</v>
      </c>
      <c r="F3" s="109" t="s">
        <v>272</v>
      </c>
      <c r="G3" s="109" t="s">
        <v>272</v>
      </c>
      <c r="H3" s="109" t="s">
        <v>272</v>
      </c>
      <c r="I3" s="109" t="s">
        <v>116</v>
      </c>
      <c r="J3" s="109" t="s">
        <v>116</v>
      </c>
    </row>
    <row r="4" spans="1:10" x14ac:dyDescent="0.3">
      <c r="C4" s="366" t="s">
        <v>46</v>
      </c>
      <c r="D4" s="366" t="s">
        <v>61</v>
      </c>
      <c r="E4" s="109" t="s">
        <v>73</v>
      </c>
      <c r="F4" s="109" t="s">
        <v>47</v>
      </c>
      <c r="G4" s="109" t="s">
        <v>48</v>
      </c>
      <c r="H4" s="109" t="s">
        <v>74</v>
      </c>
      <c r="I4" s="109" t="s">
        <v>49</v>
      </c>
      <c r="J4" s="109" t="s">
        <v>75</v>
      </c>
    </row>
    <row r="5" spans="1:10" x14ac:dyDescent="0.3">
      <c r="A5" s="108" t="s">
        <v>95</v>
      </c>
      <c r="B5" s="108" t="s">
        <v>76</v>
      </c>
      <c r="C5" s="172">
        <v>14322.279999999999</v>
      </c>
      <c r="D5" s="112" t="s">
        <v>45</v>
      </c>
      <c r="E5" s="172">
        <v>-14322.279999999999</v>
      </c>
      <c r="F5" s="172">
        <v>19330.53</v>
      </c>
      <c r="G5" s="112" t="s">
        <v>45</v>
      </c>
      <c r="H5" s="172">
        <v>-19330.53</v>
      </c>
      <c r="I5" s="112" t="s">
        <v>45</v>
      </c>
      <c r="J5" s="112" t="s">
        <v>45</v>
      </c>
    </row>
    <row r="6" spans="1:10" x14ac:dyDescent="0.3">
      <c r="C6" s="109"/>
      <c r="D6" s="109"/>
      <c r="E6" s="109"/>
      <c r="F6" s="109"/>
      <c r="G6" s="109"/>
      <c r="H6" s="109"/>
      <c r="I6" s="109"/>
      <c r="J6" s="109"/>
    </row>
    <row r="8" spans="1:10" s="144" customFormat="1" ht="2.1" customHeight="1" x14ac:dyDescent="0.3"/>
    <row r="9" spans="1:10" x14ac:dyDescent="0.3">
      <c r="A9" s="115" t="s">
        <v>217</v>
      </c>
    </row>
    <row r="10" spans="1:10" x14ac:dyDescent="0.3">
      <c r="B10" s="145" t="s">
        <v>0</v>
      </c>
      <c r="C10" s="377" t="s">
        <v>121</v>
      </c>
      <c r="D10" s="109"/>
      <c r="E10" s="109"/>
      <c r="F10" s="109"/>
      <c r="G10" s="109"/>
      <c r="H10" s="109"/>
    </row>
    <row r="11" spans="1:10" x14ac:dyDescent="0.3">
      <c r="B11" s="132" t="s">
        <v>268</v>
      </c>
      <c r="C11" s="132" t="s">
        <v>268</v>
      </c>
      <c r="D11" s="132" t="s">
        <v>268</v>
      </c>
      <c r="E11" s="132" t="s">
        <v>268</v>
      </c>
      <c r="F11" s="132" t="s">
        <v>268</v>
      </c>
      <c r="G11" s="132" t="s">
        <v>268</v>
      </c>
      <c r="H11" s="132" t="s">
        <v>268</v>
      </c>
    </row>
    <row r="12" spans="1:10" x14ac:dyDescent="0.3">
      <c r="B12" s="169" t="s">
        <v>63</v>
      </c>
      <c r="C12" s="169" t="s">
        <v>63</v>
      </c>
      <c r="D12" s="132" t="s">
        <v>269</v>
      </c>
      <c r="E12" s="132" t="s">
        <v>269</v>
      </c>
      <c r="F12" s="132" t="s">
        <v>53</v>
      </c>
      <c r="G12" s="132" t="s">
        <v>53</v>
      </c>
      <c r="H12" s="132" t="s">
        <v>53</v>
      </c>
    </row>
    <row r="13" spans="1:10" ht="15" customHeight="1" x14ac:dyDescent="0.3">
      <c r="B13" s="132" t="s">
        <v>2</v>
      </c>
      <c r="C13" s="132" t="s">
        <v>3</v>
      </c>
      <c r="D13" s="132" t="s">
        <v>2</v>
      </c>
      <c r="E13" s="132" t="s">
        <v>3</v>
      </c>
      <c r="F13" s="366" t="s">
        <v>49</v>
      </c>
      <c r="G13" s="132" t="s">
        <v>3</v>
      </c>
      <c r="H13" s="132" t="s">
        <v>2</v>
      </c>
    </row>
    <row r="14" spans="1:10" x14ac:dyDescent="0.3">
      <c r="A14" s="377" t="s">
        <v>123</v>
      </c>
      <c r="B14" s="178">
        <v>14431.210000000001</v>
      </c>
      <c r="C14" s="125">
        <v>13034.609759843304</v>
      </c>
      <c r="D14" s="178">
        <v>19439.260000000002</v>
      </c>
      <c r="E14" s="125">
        <v>18267.411188613612</v>
      </c>
      <c r="F14" s="125" t="s">
        <v>45</v>
      </c>
      <c r="G14" s="125">
        <v>299999.92112049501</v>
      </c>
      <c r="H14" s="125">
        <v>19439.260000000002</v>
      </c>
    </row>
    <row r="17" spans="1:10" x14ac:dyDescent="0.3">
      <c r="A17" s="150" t="s">
        <v>213</v>
      </c>
      <c r="B17" s="151">
        <f>C5-B14</f>
        <v>-108.93000000000211</v>
      </c>
      <c r="C17" s="152"/>
      <c r="D17" s="151">
        <f>F5-D14</f>
        <v>-108.7300000000032</v>
      </c>
      <c r="E17" s="152"/>
      <c r="F17" s="152"/>
      <c r="G17" s="152"/>
      <c r="H17" s="152"/>
      <c r="I17" s="152"/>
    </row>
    <row r="19" spans="1:10" x14ac:dyDescent="0.3">
      <c r="B19" s="152"/>
      <c r="C19" s="152"/>
    </row>
    <row r="24" spans="1:10" x14ac:dyDescent="0.3">
      <c r="B24" s="174"/>
      <c r="C24" s="184"/>
      <c r="D24" s="109"/>
      <c r="E24" s="109"/>
      <c r="F24" s="109"/>
      <c r="G24" s="109"/>
      <c r="H24" s="109"/>
      <c r="I24" s="109"/>
      <c r="J24" s="109"/>
    </row>
    <row r="25" spans="1:10" x14ac:dyDescent="0.3">
      <c r="B25" s="180"/>
      <c r="C25" s="180"/>
      <c r="D25" s="180"/>
      <c r="E25" s="180"/>
      <c r="F25" s="180"/>
      <c r="G25" s="180"/>
      <c r="H25" s="180"/>
      <c r="I25" s="179"/>
      <c r="J25" s="179"/>
    </row>
    <row r="26" spans="1:10" x14ac:dyDescent="0.3">
      <c r="B26" s="173"/>
      <c r="C26" s="173"/>
      <c r="D26" s="173"/>
      <c r="E26" s="173"/>
      <c r="F26" s="180"/>
      <c r="G26" s="180"/>
      <c r="H26" s="180"/>
      <c r="I26" s="179"/>
      <c r="J26" s="179"/>
    </row>
    <row r="27" spans="1:10" x14ac:dyDescent="0.3">
      <c r="B27" s="180"/>
      <c r="C27" s="180"/>
      <c r="D27" s="180"/>
      <c r="E27" s="180"/>
      <c r="F27" s="175"/>
      <c r="G27" s="180"/>
      <c r="H27" s="180"/>
    </row>
    <row r="28" spans="1:10" x14ac:dyDescent="0.3">
      <c r="B28" s="125"/>
      <c r="C28" s="125"/>
      <c r="D28" s="125"/>
      <c r="E28" s="125"/>
      <c r="F28" s="125"/>
      <c r="G28" s="125"/>
      <c r="H28" s="125"/>
    </row>
  </sheetData>
  <phoneticPr fontId="31" type="noConversion"/>
  <pageMargins left="0.75" right="0.75" top="1" bottom="1" header="0.5" footer="0.5"/>
  <pageSetup scale="74" orientation="landscape" r:id="rId1"/>
  <headerFooter alignWithMargins="0">
    <oddFooter>&amp;L&amp;Z&amp;F
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S48"/>
  <sheetViews>
    <sheetView zoomScale="90" zoomScaleNormal="90" workbookViewId="0">
      <selection activeCell="J37" sqref="J37"/>
    </sheetView>
  </sheetViews>
  <sheetFormatPr defaultColWidth="9.109375" defaultRowHeight="13.8" x14ac:dyDescent="0.3"/>
  <cols>
    <col min="1" max="1" width="2.44140625" style="108" customWidth="1"/>
    <col min="2" max="2" width="51.5546875" style="108" bestFit="1" customWidth="1"/>
    <col min="3" max="3" width="37.5546875" style="523" bestFit="1" customWidth="1"/>
    <col min="4" max="5" width="14" style="145" customWidth="1"/>
    <col min="6" max="6" width="2.109375" style="145" customWidth="1"/>
    <col min="7" max="8" width="14" style="145" customWidth="1"/>
    <col min="9" max="9" width="3.44140625" style="145" customWidth="1"/>
    <col min="10" max="10" width="15" style="145" bestFit="1" customWidth="1"/>
    <col min="11" max="12" width="14" style="145" customWidth="1"/>
    <col min="13" max="13" width="14" style="108" bestFit="1" customWidth="1"/>
    <col min="14" max="14" width="11" style="108" customWidth="1"/>
    <col min="15" max="16" width="12.5546875" style="108" bestFit="1" customWidth="1"/>
    <col min="17" max="17" width="12.44140625" style="108" bestFit="1" customWidth="1"/>
    <col min="18" max="19" width="13.5546875" style="108" bestFit="1" customWidth="1"/>
    <col min="20" max="16384" width="9.109375" style="108"/>
  </cols>
  <sheetData>
    <row r="1" spans="2:16" ht="14.4" thickBot="1" x14ac:dyDescent="0.35"/>
    <row r="2" spans="2:16" x14ac:dyDescent="0.3">
      <c r="B2" s="1150"/>
      <c r="C2" s="525"/>
      <c r="D2" s="608" t="s">
        <v>72</v>
      </c>
      <c r="E2" s="526"/>
      <c r="F2" s="526"/>
      <c r="G2" s="526"/>
      <c r="H2" s="526"/>
      <c r="I2" s="526"/>
      <c r="J2" s="526"/>
      <c r="K2" s="526"/>
      <c r="L2" s="527"/>
    </row>
    <row r="3" spans="2:16" x14ac:dyDescent="0.3">
      <c r="B3" s="510"/>
      <c r="C3" s="528"/>
      <c r="D3" s="390" t="s">
        <v>501</v>
      </c>
      <c r="E3" s="390" t="s">
        <v>501</v>
      </c>
      <c r="F3" s="390"/>
      <c r="G3" s="390" t="s">
        <v>501</v>
      </c>
      <c r="H3" s="390" t="s">
        <v>501</v>
      </c>
      <c r="I3" s="390"/>
      <c r="J3" s="390" t="s">
        <v>501</v>
      </c>
      <c r="K3" s="390" t="s">
        <v>501</v>
      </c>
      <c r="L3" s="1004" t="s">
        <v>501</v>
      </c>
    </row>
    <row r="4" spans="2:16" x14ac:dyDescent="0.3">
      <c r="B4" s="510"/>
      <c r="C4" s="528"/>
      <c r="D4" s="394" t="s">
        <v>239</v>
      </c>
      <c r="E4" s="394" t="s">
        <v>239</v>
      </c>
      <c r="F4" s="714"/>
      <c r="G4" s="394" t="s">
        <v>544</v>
      </c>
      <c r="H4" s="394" t="s">
        <v>544</v>
      </c>
      <c r="I4" s="394"/>
      <c r="J4" s="394" t="s">
        <v>53</v>
      </c>
      <c r="K4" s="394" t="s">
        <v>53</v>
      </c>
      <c r="L4" s="529" t="s">
        <v>53</v>
      </c>
    </row>
    <row r="5" spans="2:16" x14ac:dyDescent="0.3">
      <c r="B5" s="510"/>
      <c r="C5" s="528"/>
      <c r="D5" s="394" t="s">
        <v>2</v>
      </c>
      <c r="E5" s="394" t="s">
        <v>3</v>
      </c>
      <c r="F5" s="394"/>
      <c r="G5" s="394" t="s">
        <v>2</v>
      </c>
      <c r="H5" s="394" t="s">
        <v>3</v>
      </c>
      <c r="I5" s="394"/>
      <c r="J5" s="545" t="s">
        <v>49</v>
      </c>
      <c r="K5" s="394" t="s">
        <v>3</v>
      </c>
      <c r="L5" s="529" t="s">
        <v>2</v>
      </c>
      <c r="M5"/>
    </row>
    <row r="6" spans="2:16" ht="13.5" customHeight="1" x14ac:dyDescent="0.3">
      <c r="B6" s="531" t="s">
        <v>124</v>
      </c>
      <c r="C6" s="532" t="s">
        <v>130</v>
      </c>
      <c r="D6" s="389">
        <v>10288.169999999998</v>
      </c>
      <c r="E6" s="389" t="s">
        <v>45</v>
      </c>
      <c r="F6" s="116"/>
      <c r="G6" s="389">
        <v>119545.62</v>
      </c>
      <c r="H6" s="389" t="s">
        <v>45</v>
      </c>
      <c r="I6" s="116"/>
      <c r="J6" s="181" t="s">
        <v>45</v>
      </c>
      <c r="K6" s="389" t="s">
        <v>45</v>
      </c>
      <c r="L6" s="530">
        <v>119545.62</v>
      </c>
      <c r="M6" s="46"/>
      <c r="N6" s="120"/>
    </row>
    <row r="7" spans="2:16" ht="13.5" customHeight="1" x14ac:dyDescent="0.3">
      <c r="B7" s="531" t="s">
        <v>136</v>
      </c>
      <c r="C7" s="532" t="s">
        <v>130</v>
      </c>
      <c r="D7" s="389" t="s">
        <v>45</v>
      </c>
      <c r="E7" s="389" t="s">
        <v>45</v>
      </c>
      <c r="F7" s="389"/>
      <c r="G7" s="389" t="s">
        <v>45</v>
      </c>
      <c r="H7" s="389" t="s">
        <v>45</v>
      </c>
      <c r="I7" s="389"/>
      <c r="J7" s="181" t="s">
        <v>45</v>
      </c>
      <c r="K7" s="389" t="s">
        <v>45</v>
      </c>
      <c r="L7" s="530" t="s">
        <v>45</v>
      </c>
      <c r="M7" s="46"/>
    </row>
    <row r="8" spans="2:16" x14ac:dyDescent="0.3">
      <c r="B8" s="506" t="s">
        <v>257</v>
      </c>
      <c r="C8" s="534" t="s">
        <v>130</v>
      </c>
      <c r="D8" s="181" t="s">
        <v>45</v>
      </c>
      <c r="E8" s="181" t="s">
        <v>45</v>
      </c>
      <c r="F8" s="181"/>
      <c r="G8" s="181" t="s">
        <v>45</v>
      </c>
      <c r="H8" s="181" t="s">
        <v>45</v>
      </c>
      <c r="I8" s="181"/>
      <c r="J8" s="181" t="s">
        <v>45</v>
      </c>
      <c r="K8" s="181" t="s">
        <v>45</v>
      </c>
      <c r="L8" s="508" t="s">
        <v>45</v>
      </c>
      <c r="M8" s="46"/>
    </row>
    <row r="9" spans="2:16" x14ac:dyDescent="0.3">
      <c r="B9" s="515" t="s">
        <v>121</v>
      </c>
      <c r="C9" s="535" t="s">
        <v>130</v>
      </c>
      <c r="D9" s="405">
        <v>101.69</v>
      </c>
      <c r="E9" s="405" t="s">
        <v>45</v>
      </c>
      <c r="F9" s="405"/>
      <c r="G9" s="405">
        <v>5150.5</v>
      </c>
      <c r="H9" s="405" t="s">
        <v>45</v>
      </c>
      <c r="I9" s="405"/>
      <c r="J9" s="405" t="s">
        <v>45</v>
      </c>
      <c r="K9" s="405" t="s">
        <v>45</v>
      </c>
      <c r="L9" s="1151">
        <v>5150.5</v>
      </c>
      <c r="M9" s="1225"/>
    </row>
    <row r="10" spans="2:16" x14ac:dyDescent="0.3">
      <c r="B10" s="515" t="s">
        <v>122</v>
      </c>
      <c r="C10" s="535" t="s">
        <v>130</v>
      </c>
      <c r="D10" s="405">
        <v>7938.21</v>
      </c>
      <c r="E10" s="405" t="s">
        <v>45</v>
      </c>
      <c r="F10" s="407"/>
      <c r="G10" s="405">
        <v>87614.87000000001</v>
      </c>
      <c r="H10" s="405" t="s">
        <v>45</v>
      </c>
      <c r="I10" s="407"/>
      <c r="J10" s="405" t="s">
        <v>45</v>
      </c>
      <c r="K10" s="405" t="s">
        <v>45</v>
      </c>
      <c r="L10" s="516">
        <v>87614.87000000001</v>
      </c>
      <c r="M10" s="1225"/>
    </row>
    <row r="11" spans="2:16" x14ac:dyDescent="0.3">
      <c r="B11" s="531" t="s">
        <v>125</v>
      </c>
      <c r="C11" s="536" t="s">
        <v>130</v>
      </c>
      <c r="D11" s="389">
        <v>34100.829999999994</v>
      </c>
      <c r="E11" s="389" t="s">
        <v>45</v>
      </c>
      <c r="F11" s="116"/>
      <c r="G11" s="389">
        <v>455696.32</v>
      </c>
      <c r="H11" s="389" t="s">
        <v>45</v>
      </c>
      <c r="I11" s="116"/>
      <c r="J11" s="181" t="s">
        <v>45</v>
      </c>
      <c r="K11" s="389" t="s">
        <v>45</v>
      </c>
      <c r="L11" s="533">
        <v>455696.32</v>
      </c>
      <c r="M11" s="46"/>
    </row>
    <row r="12" spans="2:16" x14ac:dyDescent="0.3">
      <c r="B12" s="531" t="s">
        <v>132</v>
      </c>
      <c r="C12" s="536" t="s">
        <v>130</v>
      </c>
      <c r="D12" s="389">
        <v>67503.5</v>
      </c>
      <c r="E12" s="389" t="s">
        <v>45</v>
      </c>
      <c r="F12" s="116"/>
      <c r="G12" s="389">
        <v>743880.89000000013</v>
      </c>
      <c r="H12" s="389" t="s">
        <v>45</v>
      </c>
      <c r="I12" s="116"/>
      <c r="J12" s="181" t="s">
        <v>45</v>
      </c>
      <c r="K12" s="389" t="s">
        <v>45</v>
      </c>
      <c r="L12" s="533">
        <v>743880.89000000013</v>
      </c>
      <c r="M12" s="46"/>
      <c r="N12" s="805"/>
    </row>
    <row r="13" spans="2:16" x14ac:dyDescent="0.3">
      <c r="B13" s="531" t="s">
        <v>126</v>
      </c>
      <c r="C13" s="536" t="s">
        <v>130</v>
      </c>
      <c r="D13" s="389">
        <v>73708.739999999991</v>
      </c>
      <c r="E13" s="389" t="s">
        <v>45</v>
      </c>
      <c r="F13" s="116"/>
      <c r="G13" s="389">
        <v>769181.12999999989</v>
      </c>
      <c r="H13" s="389" t="s">
        <v>45</v>
      </c>
      <c r="I13" s="116"/>
      <c r="J13" s="181" t="s">
        <v>45</v>
      </c>
      <c r="K13" s="389" t="s">
        <v>45</v>
      </c>
      <c r="L13" s="533">
        <v>769181.12999999989</v>
      </c>
      <c r="M13" s="46"/>
      <c r="N13" s="805"/>
    </row>
    <row r="14" spans="2:16" x14ac:dyDescent="0.3">
      <c r="B14" s="531" t="s">
        <v>137</v>
      </c>
      <c r="C14" s="536" t="s">
        <v>130</v>
      </c>
      <c r="D14" s="389">
        <v>11503.65</v>
      </c>
      <c r="E14" s="389" t="s">
        <v>45</v>
      </c>
      <c r="F14" s="116"/>
      <c r="G14" s="389">
        <v>128383.88</v>
      </c>
      <c r="H14" s="389" t="s">
        <v>45</v>
      </c>
      <c r="I14" s="116"/>
      <c r="J14" s="181" t="s">
        <v>45</v>
      </c>
      <c r="K14" s="389" t="s">
        <v>45</v>
      </c>
      <c r="L14" s="533">
        <v>128383.88</v>
      </c>
      <c r="M14" s="46"/>
      <c r="N14" s="805"/>
      <c r="P14" s="805"/>
    </row>
    <row r="15" spans="2:16" x14ac:dyDescent="0.3">
      <c r="B15" s="531" t="s">
        <v>138</v>
      </c>
      <c r="C15" s="536" t="s">
        <v>130</v>
      </c>
      <c r="D15" s="389">
        <v>6409.42</v>
      </c>
      <c r="E15" s="389" t="s">
        <v>45</v>
      </c>
      <c r="F15" s="116"/>
      <c r="G15" s="389">
        <v>63516.59</v>
      </c>
      <c r="H15" s="389" t="s">
        <v>45</v>
      </c>
      <c r="I15" s="116"/>
      <c r="J15" s="181" t="s">
        <v>45</v>
      </c>
      <c r="K15" s="389" t="s">
        <v>45</v>
      </c>
      <c r="L15" s="533">
        <v>63516.59</v>
      </c>
      <c r="M15" s="46"/>
    </row>
    <row r="16" spans="2:16" x14ac:dyDescent="0.3">
      <c r="B16" s="531" t="s">
        <v>133</v>
      </c>
      <c r="C16" s="536" t="s">
        <v>130</v>
      </c>
      <c r="D16" s="389">
        <v>12381.05</v>
      </c>
      <c r="E16" s="389" t="s">
        <v>45</v>
      </c>
      <c r="F16" s="116"/>
      <c r="G16" s="389">
        <v>136124.01</v>
      </c>
      <c r="H16" s="389" t="s">
        <v>45</v>
      </c>
      <c r="I16" s="116"/>
      <c r="J16" s="181" t="s">
        <v>45</v>
      </c>
      <c r="K16" s="389" t="s">
        <v>45</v>
      </c>
      <c r="L16" s="533">
        <v>136124.01</v>
      </c>
      <c r="M16" s="46"/>
    </row>
    <row r="17" spans="2:19" x14ac:dyDescent="0.3">
      <c r="B17" s="531" t="s">
        <v>139</v>
      </c>
      <c r="C17" s="536" t="s">
        <v>130</v>
      </c>
      <c r="D17" s="389">
        <v>3478.65</v>
      </c>
      <c r="E17" s="389" t="s">
        <v>45</v>
      </c>
      <c r="F17" s="116"/>
      <c r="G17" s="389">
        <v>37833.160000000003</v>
      </c>
      <c r="H17" s="389" t="s">
        <v>45</v>
      </c>
      <c r="I17" s="116"/>
      <c r="J17" s="181" t="s">
        <v>45</v>
      </c>
      <c r="K17" s="389" t="s">
        <v>45</v>
      </c>
      <c r="L17" s="533">
        <v>37833.160000000003</v>
      </c>
      <c r="M17" s="46"/>
    </row>
    <row r="18" spans="2:19" s="115" customFormat="1" x14ac:dyDescent="0.3">
      <c r="B18" s="911" t="s">
        <v>134</v>
      </c>
      <c r="C18" s="912" t="s">
        <v>130</v>
      </c>
      <c r="D18" s="913">
        <v>120427.2</v>
      </c>
      <c r="E18" s="913" t="s">
        <v>45</v>
      </c>
      <c r="F18" s="914"/>
      <c r="G18" s="913">
        <v>252959.7</v>
      </c>
      <c r="H18" s="913" t="s">
        <v>45</v>
      </c>
      <c r="I18" s="914"/>
      <c r="J18" s="913" t="s">
        <v>45</v>
      </c>
      <c r="K18" s="913" t="s">
        <v>45</v>
      </c>
      <c r="L18" s="1227">
        <v>252959.7</v>
      </c>
      <c r="M18" s="46"/>
      <c r="N18" s="973"/>
      <c r="O18" s="805"/>
      <c r="P18" s="805"/>
      <c r="Q18" s="805"/>
      <c r="R18" s="805"/>
      <c r="S18" s="511"/>
    </row>
    <row r="19" spans="2:19" s="115" customFormat="1" x14ac:dyDescent="0.3">
      <c r="B19" s="911" t="s">
        <v>469</v>
      </c>
      <c r="C19" s="912" t="s">
        <v>130</v>
      </c>
      <c r="D19" s="913">
        <v>83083.869999999981</v>
      </c>
      <c r="E19" s="913" t="s">
        <v>45</v>
      </c>
      <c r="F19" s="914"/>
      <c r="G19" s="913">
        <v>870904.33000000019</v>
      </c>
      <c r="H19" s="913" t="s">
        <v>45</v>
      </c>
      <c r="I19" s="914"/>
      <c r="J19" s="913" t="s">
        <v>45</v>
      </c>
      <c r="K19" s="913" t="s">
        <v>45</v>
      </c>
      <c r="L19" s="915">
        <v>870904.33000000019</v>
      </c>
      <c r="M19" s="46"/>
      <c r="N19" s="973"/>
      <c r="O19" s="805"/>
      <c r="P19" s="805"/>
      <c r="Q19" s="805"/>
      <c r="R19" s="805"/>
      <c r="S19" s="511"/>
    </row>
    <row r="20" spans="2:19" x14ac:dyDescent="0.3">
      <c r="B20" s="537" t="s">
        <v>441</v>
      </c>
      <c r="C20" s="520" t="s">
        <v>130</v>
      </c>
      <c r="D20" s="682">
        <v>440377.37</v>
      </c>
      <c r="E20" s="682" t="s">
        <v>45</v>
      </c>
      <c r="F20" s="337"/>
      <c r="G20" s="337">
        <v>3751057.96</v>
      </c>
      <c r="H20" s="682" t="s">
        <v>45</v>
      </c>
      <c r="I20" s="337"/>
      <c r="J20" s="682" t="s">
        <v>45</v>
      </c>
      <c r="K20" s="682" t="s">
        <v>45</v>
      </c>
      <c r="L20" s="538">
        <v>3751057.96</v>
      </c>
      <c r="M20" s="46"/>
      <c r="N20" s="974"/>
      <c r="O20" s="120"/>
      <c r="P20" s="120"/>
      <c r="Q20" s="120"/>
      <c r="R20" s="120"/>
    </row>
    <row r="21" spans="2:19" s="115" customFormat="1" x14ac:dyDescent="0.3">
      <c r="B21" s="539"/>
      <c r="C21" s="541"/>
      <c r="D21" s="341"/>
      <c r="E21" s="540"/>
      <c r="F21" s="540"/>
      <c r="G21" s="341"/>
      <c r="H21" s="341"/>
      <c r="I21" s="341"/>
      <c r="J21" s="540"/>
      <c r="K21" s="540"/>
      <c r="L21" s="507"/>
      <c r="M21" s="46"/>
      <c r="N21" s="973"/>
      <c r="O21" s="973"/>
      <c r="P21" s="973"/>
      <c r="Q21" s="973"/>
      <c r="R21" s="973"/>
    </row>
    <row r="22" spans="2:19" s="115" customFormat="1" x14ac:dyDescent="0.3">
      <c r="B22" s="537" t="s">
        <v>441</v>
      </c>
      <c r="C22" s="522" t="s">
        <v>389</v>
      </c>
      <c r="D22" s="341">
        <v>0</v>
      </c>
      <c r="E22" s="341">
        <v>0</v>
      </c>
      <c r="F22" s="540"/>
      <c r="G22" s="341">
        <v>0</v>
      </c>
      <c r="H22" s="341">
        <v>0</v>
      </c>
      <c r="I22" s="341"/>
      <c r="J22" s="341">
        <v>0</v>
      </c>
      <c r="K22" s="341">
        <v>0</v>
      </c>
      <c r="L22" s="509">
        <v>0</v>
      </c>
      <c r="M22" s="46"/>
    </row>
    <row r="23" spans="2:19" s="115" customFormat="1" x14ac:dyDescent="0.3">
      <c r="B23" s="539"/>
      <c r="C23" s="541"/>
      <c r="D23" s="341"/>
      <c r="E23" s="540"/>
      <c r="F23" s="540"/>
      <c r="G23" s="341"/>
      <c r="H23" s="341"/>
      <c r="I23" s="341"/>
      <c r="J23" s="540"/>
      <c r="K23" s="540"/>
      <c r="L23" s="507"/>
      <c r="M23" s="46"/>
      <c r="N23" s="357"/>
    </row>
    <row r="24" spans="2:19" x14ac:dyDescent="0.3">
      <c r="B24" s="537" t="s">
        <v>441</v>
      </c>
      <c r="C24" s="541" t="s">
        <v>131</v>
      </c>
      <c r="D24" s="389">
        <v>0</v>
      </c>
      <c r="E24" s="389" t="s">
        <v>45</v>
      </c>
      <c r="F24" s="116"/>
      <c r="G24" s="389">
        <v>-130264.42</v>
      </c>
      <c r="H24" s="389" t="s">
        <v>45</v>
      </c>
      <c r="I24" s="116"/>
      <c r="J24" s="389" t="s">
        <v>45</v>
      </c>
      <c r="K24" s="389" t="s">
        <v>45</v>
      </c>
      <c r="L24" s="530">
        <v>-130264.42</v>
      </c>
      <c r="M24" s="46"/>
      <c r="N24" s="120"/>
    </row>
    <row r="25" spans="2:19" ht="14.4" thickBot="1" x14ac:dyDescent="0.35">
      <c r="B25" s="1005" t="s">
        <v>441</v>
      </c>
      <c r="C25" s="542" t="s">
        <v>253</v>
      </c>
      <c r="D25" s="543">
        <v>0</v>
      </c>
      <c r="E25" s="543" t="s">
        <v>45</v>
      </c>
      <c r="F25" s="543"/>
      <c r="G25" s="543">
        <v>-1333301.58</v>
      </c>
      <c r="H25" s="543" t="s">
        <v>45</v>
      </c>
      <c r="I25" s="543"/>
      <c r="J25" s="543" t="s">
        <v>45</v>
      </c>
      <c r="K25" s="543" t="s">
        <v>45</v>
      </c>
      <c r="L25" s="544">
        <v>-1333301.58</v>
      </c>
      <c r="M25" s="46"/>
      <c r="N25" s="120"/>
    </row>
    <row r="26" spans="2:19" x14ac:dyDescent="0.3">
      <c r="B26" s="177"/>
      <c r="C26" s="521"/>
      <c r="D26" s="546">
        <f>SUM(D24:D25)</f>
        <v>0</v>
      </c>
      <c r="E26" s="546">
        <f>SUM(E24:E25)</f>
        <v>0</v>
      </c>
      <c r="F26" s="546"/>
      <c r="G26" s="546">
        <f>SUM(G24:G25)</f>
        <v>-1463566</v>
      </c>
      <c r="H26" s="546">
        <f>SUM(H24:H25)</f>
        <v>0</v>
      </c>
      <c r="I26" s="546"/>
      <c r="J26" s="546">
        <f>SUM(J24:J25)</f>
        <v>0</v>
      </c>
      <c r="K26" s="546">
        <f>SUM(K24:K25)</f>
        <v>0</v>
      </c>
      <c r="L26" s="546">
        <f>SUM(L24:L25)</f>
        <v>-1463566</v>
      </c>
      <c r="M26" s="46"/>
      <c r="N26" s="120"/>
    </row>
    <row r="27" spans="2:19" ht="14.4" thickBot="1" x14ac:dyDescent="0.35">
      <c r="D27" s="366"/>
      <c r="E27" s="366"/>
      <c r="F27" s="366"/>
      <c r="G27" s="366"/>
      <c r="H27" s="366"/>
      <c r="I27" s="366"/>
      <c r="J27" s="366"/>
      <c r="K27" s="366"/>
      <c r="L27" s="366"/>
      <c r="M27" s="46"/>
    </row>
    <row r="28" spans="2:19" s="115" customFormat="1" ht="14.4" thickBot="1" x14ac:dyDescent="0.35">
      <c r="B28" s="969" t="s">
        <v>477</v>
      </c>
      <c r="C28" s="970"/>
      <c r="D28" s="971">
        <f>+D20-D9-D10-essincome!C39</f>
        <v>427182.18999999994</v>
      </c>
      <c r="E28" s="971">
        <f>E20-E10-E9+E26+E22</f>
        <v>0</v>
      </c>
      <c r="F28" s="971">
        <f>F20-F10-F9+F26+F22</f>
        <v>0</v>
      </c>
      <c r="G28" s="971">
        <f>+G20-G9-G10-essincome!F39</f>
        <v>3602075.4499999997</v>
      </c>
      <c r="H28" s="971">
        <f>H20-H10-H9+H26+H22</f>
        <v>0</v>
      </c>
      <c r="I28" s="971"/>
      <c r="J28" s="978">
        <f>J20-J10-J9+J26+J22</f>
        <v>0</v>
      </c>
      <c r="K28" s="971">
        <f>K20-K10-K9+K26+K22</f>
        <v>0</v>
      </c>
      <c r="L28" s="971">
        <f>L20-L10-L9+L26+L22</f>
        <v>2194726.59</v>
      </c>
      <c r="M28" s="979"/>
    </row>
    <row r="29" spans="2:19" x14ac:dyDescent="0.3">
      <c r="D29" s="366"/>
      <c r="E29" s="366"/>
      <c r="F29" s="366"/>
      <c r="G29" s="366"/>
      <c r="H29" s="366"/>
      <c r="I29" s="366"/>
      <c r="J29" s="366"/>
      <c r="K29" s="366"/>
      <c r="L29" s="366"/>
      <c r="M29" s="46"/>
    </row>
    <row r="30" spans="2:19" s="115" customFormat="1" x14ac:dyDescent="0.3">
      <c r="B30" s="969" t="s">
        <v>478</v>
      </c>
      <c r="C30" s="524"/>
      <c r="D30" s="547">
        <f>+D28+D22</f>
        <v>427182.18999999994</v>
      </c>
      <c r="E30" s="547">
        <f>E20-E10-E9+E22</f>
        <v>0</v>
      </c>
      <c r="F30" s="547"/>
      <c r="G30" s="547">
        <f>+G28+G22</f>
        <v>3602075.4499999997</v>
      </c>
      <c r="H30" s="547">
        <f>H20-H10-H9+H22</f>
        <v>0</v>
      </c>
      <c r="I30" s="547"/>
      <c r="J30" s="547">
        <f>J20-J10-J9+J22</f>
        <v>0</v>
      </c>
      <c r="K30" s="547">
        <f>K20-K10-K9+K22</f>
        <v>0</v>
      </c>
      <c r="L30" s="547">
        <f>L20-L10-L9+L22</f>
        <v>3658292.59</v>
      </c>
      <c r="M30" s="46"/>
    </row>
    <row r="31" spans="2:19" x14ac:dyDescent="0.3">
      <c r="D31" s="548"/>
      <c r="E31" s="548"/>
      <c r="F31" s="548"/>
      <c r="G31" s="548"/>
      <c r="H31" s="548"/>
      <c r="I31" s="548"/>
      <c r="K31" s="548"/>
      <c r="L31" s="548"/>
      <c r="M31" s="916"/>
    </row>
    <row r="32" spans="2:19" x14ac:dyDescent="0.3">
      <c r="C32" s="774" t="s">
        <v>456</v>
      </c>
      <c r="D32" s="548">
        <f>D9+D10+'cap pension'!I3+essincome!C39</f>
        <v>13195.18</v>
      </c>
      <c r="E32" s="548">
        <f>E9+E10+'cap pension'!I4+essincome!H39</f>
        <v>0</v>
      </c>
      <c r="F32" s="548"/>
      <c r="G32" s="548">
        <f>G9+G10+'cap pension'!N3+essincome!F39</f>
        <v>265887.5</v>
      </c>
      <c r="H32" s="548">
        <f>H9+H10+'cap pension'!N4</f>
        <v>0</v>
      </c>
      <c r="I32" s="548"/>
      <c r="J32" s="548">
        <f>+J9+J10+'cap pension'!M9+essincome!I39</f>
        <v>0</v>
      </c>
      <c r="K32" s="548">
        <f>+K9+K10+'cap pension'!M8+essincome!J39</f>
        <v>0</v>
      </c>
      <c r="M32" s="452"/>
    </row>
    <row r="33" spans="3:15" ht="14.4" thickBot="1" x14ac:dyDescent="0.35">
      <c r="C33" s="917" t="s">
        <v>402</v>
      </c>
      <c r="D33" s="918">
        <f>D30+D32-D22</f>
        <v>440377.36999999994</v>
      </c>
      <c r="E33" s="918">
        <f>E30+E32-E22</f>
        <v>0</v>
      </c>
      <c r="F33" s="918"/>
      <c r="G33" s="918">
        <f>G30+G32-G22</f>
        <v>3867962.9499999997</v>
      </c>
      <c r="H33" s="918">
        <f>H30+H32-H22</f>
        <v>0</v>
      </c>
      <c r="I33" s="918"/>
      <c r="J33" s="918">
        <f>J30+J32-J22</f>
        <v>0</v>
      </c>
      <c r="K33" s="918">
        <f>K30+K32-K22</f>
        <v>0</v>
      </c>
      <c r="L33" s="51">
        <f>J33-K33</f>
        <v>0</v>
      </c>
      <c r="M33" s="46"/>
    </row>
    <row r="34" spans="3:15" ht="14.4" thickTop="1" x14ac:dyDescent="0.3">
      <c r="L34"/>
      <c r="M34" s="46"/>
      <c r="N34" s="117"/>
    </row>
    <row r="35" spans="3:15" ht="14.4" thickBot="1" x14ac:dyDescent="0.35">
      <c r="C35" s="775" t="s">
        <v>432</v>
      </c>
      <c r="D35" s="699">
        <f>D30+D32</f>
        <v>440377.36999999994</v>
      </c>
      <c r="E35" s="699">
        <f>E30+E32</f>
        <v>0</v>
      </c>
      <c r="F35" s="700"/>
      <c r="G35" s="699">
        <f>G30+G32</f>
        <v>3867962.9499999997</v>
      </c>
      <c r="H35" s="699">
        <f>H30+H32</f>
        <v>0</v>
      </c>
      <c r="I35" s="700"/>
      <c r="J35" s="699">
        <f>J30+J32</f>
        <v>0</v>
      </c>
      <c r="K35" s="699">
        <f>K30+K32</f>
        <v>0</v>
      </c>
      <c r="L35"/>
      <c r="M35" s="117"/>
      <c r="N35" s="117"/>
    </row>
    <row r="36" spans="3:15" ht="14.4" thickTop="1" x14ac:dyDescent="0.3">
      <c r="G36" s="549"/>
      <c r="H36" s="550"/>
      <c r="I36" s="550"/>
      <c r="J36" s="549"/>
      <c r="K36" s="551"/>
      <c r="M36" s="117"/>
      <c r="N36" s="117"/>
    </row>
    <row r="37" spans="3:15" x14ac:dyDescent="0.3">
      <c r="D37" s="549"/>
      <c r="E37" s="549"/>
      <c r="F37" s="549"/>
      <c r="G37" s="549">
        <f>+J37/12*6</f>
        <v>4055500</v>
      </c>
      <c r="I37" s="549"/>
      <c r="J37" s="549">
        <v>8111000</v>
      </c>
      <c r="K37" s="549"/>
      <c r="L37" s="549"/>
      <c r="M37" s="117"/>
      <c r="N37" s="117"/>
    </row>
    <row r="38" spans="3:15" x14ac:dyDescent="0.3">
      <c r="D38"/>
      <c r="E38" s="51"/>
      <c r="F38"/>
      <c r="G38" s="51"/>
      <c r="H38" s="51"/>
      <c r="I38" s="51"/>
      <c r="J38" s="51"/>
      <c r="K38" s="51"/>
      <c r="L38" s="51"/>
      <c r="M38" s="51"/>
      <c r="N38" s="120"/>
    </row>
    <row r="39" spans="3:15" x14ac:dyDescent="0.3">
      <c r="D39" s="46"/>
      <c r="E39" s="51"/>
      <c r="F39"/>
      <c r="G39" s="46">
        <f>+G37-G33</f>
        <v>187537.05000000028</v>
      </c>
      <c r="H39" s="51"/>
      <c r="I39" s="51"/>
      <c r="J39" s="988"/>
      <c r="K39" s="51"/>
      <c r="L39" s="51"/>
      <c r="M39" s="51"/>
      <c r="N39" s="120"/>
      <c r="O39" s="120"/>
    </row>
    <row r="40" spans="3:15" x14ac:dyDescent="0.3">
      <c r="D40" s="46"/>
      <c r="E40" s="51"/>
      <c r="F40"/>
      <c r="G40" s="46"/>
      <c r="H40" s="51"/>
      <c r="I40" s="51"/>
      <c r="J40" s="51"/>
      <c r="K40" s="51"/>
      <c r="L40" s="976"/>
      <c r="M40" s="976"/>
      <c r="N40" s="120"/>
    </row>
    <row r="41" spans="3:15" x14ac:dyDescent="0.3">
      <c r="C41" s="523" t="s">
        <v>545</v>
      </c>
      <c r="D41" s="46"/>
      <c r="E41"/>
      <c r="F41"/>
      <c r="G41" s="549"/>
      <c r="H41" s="549"/>
      <c r="J41" s="51"/>
      <c r="L41" s="976"/>
      <c r="M41" s="976"/>
      <c r="N41" s="120"/>
    </row>
    <row r="42" spans="3:15" x14ac:dyDescent="0.3">
      <c r="D42" s="46"/>
      <c r="E42"/>
      <c r="F42"/>
      <c r="G42" s="51"/>
      <c r="H42" s="51"/>
      <c r="I42"/>
      <c r="J42" s="51"/>
      <c r="K42" s="549"/>
      <c r="L42" s="977"/>
    </row>
    <row r="43" spans="3:15" x14ac:dyDescent="0.3">
      <c r="C43" s="1231" t="s">
        <v>534</v>
      </c>
      <c r="D43" s="1218">
        <v>2000</v>
      </c>
      <c r="E43" s="1220">
        <v>70050</v>
      </c>
      <c r="F43" s="1220"/>
      <c r="G43" s="1220">
        <v>99999900</v>
      </c>
      <c r="H43" s="549">
        <f>+G39</f>
        <v>187537.05000000028</v>
      </c>
      <c r="J43" s="51"/>
      <c r="K43" s="549"/>
      <c r="M43" s="225"/>
      <c r="N43" s="120"/>
    </row>
    <row r="44" spans="3:15" x14ac:dyDescent="0.3">
      <c r="C44" s="1231" t="s">
        <v>535</v>
      </c>
      <c r="D44" s="1218">
        <v>2000</v>
      </c>
      <c r="E44" s="1220">
        <v>27510</v>
      </c>
      <c r="F44" s="1220"/>
      <c r="G44" s="1219"/>
      <c r="H44" s="549">
        <f>-G39</f>
        <v>-187537.05000000028</v>
      </c>
      <c r="I44" s="51"/>
      <c r="J44" s="51"/>
      <c r="K44" s="51"/>
    </row>
    <row r="45" spans="3:15" x14ac:dyDescent="0.3">
      <c r="D45" s="549"/>
      <c r="G45" s="549"/>
      <c r="J45" s="549"/>
    </row>
    <row r="46" spans="3:15" x14ac:dyDescent="0.3">
      <c r="D46" s="549"/>
      <c r="G46" s="549"/>
      <c r="J46" s="549"/>
    </row>
    <row r="48" spans="3:15" x14ac:dyDescent="0.3">
      <c r="D48" s="549"/>
      <c r="G48" s="549"/>
    </row>
  </sheetData>
  <pageMargins left="0.7" right="0.7" top="0.75" bottom="0.75" header="0.3" footer="0.3"/>
  <pageSetup orientation="landscape" r:id="rId1"/>
  <headerFooter>
    <oddFooter>&amp;L&amp;Z&amp;F
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39997558519241921"/>
    <pageSetUpPr fitToPage="1"/>
  </sheetPr>
  <dimension ref="A2:M133"/>
  <sheetViews>
    <sheetView topLeftCell="A105" zoomScaleNormal="100" workbookViewId="0">
      <selection activeCell="A116" sqref="A116:J124"/>
    </sheetView>
  </sheetViews>
  <sheetFormatPr defaultColWidth="9.109375" defaultRowHeight="13.8" x14ac:dyDescent="0.3"/>
  <cols>
    <col min="1" max="1" width="41.5546875" style="557" bestFit="1" customWidth="1"/>
    <col min="2" max="2" width="33.109375" style="557" bestFit="1" customWidth="1"/>
    <col min="3" max="3" width="15.109375" style="323" bestFit="1" customWidth="1"/>
    <col min="4" max="4" width="14.6640625" style="323" bestFit="1" customWidth="1"/>
    <col min="5" max="5" width="3.109375" style="323" customWidth="1"/>
    <col min="6" max="7" width="15.6640625" style="323" bestFit="1" customWidth="1"/>
    <col min="8" max="8" width="3" style="323" customWidth="1"/>
    <col min="9" max="10" width="15.6640625" style="323" bestFit="1" customWidth="1"/>
    <col min="11" max="11" width="22.88671875" style="395" customWidth="1"/>
    <col min="12" max="12" width="12.5546875" style="133" bestFit="1" customWidth="1"/>
    <col min="13" max="16384" width="9.109375" style="133"/>
  </cols>
  <sheetData>
    <row r="2" spans="1:13" ht="14.4" x14ac:dyDescent="0.3">
      <c r="A2" s="1233" t="s">
        <v>386</v>
      </c>
    </row>
    <row r="3" spans="1:13" ht="14.4" thickBot="1" x14ac:dyDescent="0.35"/>
    <row r="4" spans="1:13" x14ac:dyDescent="0.3">
      <c r="A4" s="559"/>
      <c r="B4" s="560"/>
      <c r="C4" s="588"/>
      <c r="D4" s="589" t="s">
        <v>72</v>
      </c>
      <c r="E4" s="589"/>
      <c r="F4" s="589"/>
      <c r="G4" s="588"/>
      <c r="H4" s="588"/>
      <c r="I4" s="588"/>
      <c r="J4" s="590"/>
    </row>
    <row r="5" spans="1:13" x14ac:dyDescent="0.3">
      <c r="A5" s="561"/>
      <c r="B5" s="564"/>
      <c r="C5" s="552" t="s">
        <v>501</v>
      </c>
      <c r="D5" s="552" t="s">
        <v>501</v>
      </c>
      <c r="E5" s="554"/>
      <c r="F5" s="552" t="s">
        <v>501</v>
      </c>
      <c r="G5" s="552" t="s">
        <v>501</v>
      </c>
      <c r="H5" s="554"/>
      <c r="I5" s="552" t="s">
        <v>501</v>
      </c>
      <c r="J5" s="553" t="s">
        <v>501</v>
      </c>
    </row>
    <row r="6" spans="1:13" x14ac:dyDescent="0.3">
      <c r="A6" s="561"/>
      <c r="B6" s="562"/>
      <c r="C6" s="552" t="s">
        <v>239</v>
      </c>
      <c r="D6" s="552" t="s">
        <v>239</v>
      </c>
      <c r="E6" s="554"/>
      <c r="F6" s="552" t="s">
        <v>544</v>
      </c>
      <c r="G6" s="552" t="s">
        <v>544</v>
      </c>
      <c r="H6" s="554"/>
      <c r="I6" s="552" t="s">
        <v>116</v>
      </c>
      <c r="J6" s="553" t="s">
        <v>116</v>
      </c>
    </row>
    <row r="7" spans="1:13" x14ac:dyDescent="0.3">
      <c r="A7" s="561"/>
      <c r="B7" s="562"/>
      <c r="C7" s="591" t="s">
        <v>2</v>
      </c>
      <c r="D7" s="591" t="s">
        <v>3</v>
      </c>
      <c r="E7" s="591"/>
      <c r="F7" s="591" t="s">
        <v>2</v>
      </c>
      <c r="G7" s="591" t="s">
        <v>3</v>
      </c>
      <c r="H7" s="591"/>
      <c r="I7" s="591" t="s">
        <v>49</v>
      </c>
      <c r="J7" s="592" t="s">
        <v>3</v>
      </c>
      <c r="L7" s="397"/>
      <c r="M7" s="397"/>
    </row>
    <row r="8" spans="1:13" x14ac:dyDescent="0.3">
      <c r="A8" s="563" t="s">
        <v>1</v>
      </c>
      <c r="B8" s="564" t="s">
        <v>55</v>
      </c>
      <c r="C8" s="552">
        <v>0</v>
      </c>
      <c r="D8" s="552" t="s">
        <v>45</v>
      </c>
      <c r="E8" s="552"/>
      <c r="F8" s="552">
        <v>-71786128.280000001</v>
      </c>
      <c r="G8" s="552" t="s">
        <v>45</v>
      </c>
      <c r="H8" s="552"/>
      <c r="I8" s="552" t="s">
        <v>45</v>
      </c>
      <c r="J8" s="553" t="s">
        <v>45</v>
      </c>
      <c r="K8" s="1234" t="s">
        <v>299</v>
      </c>
      <c r="L8" s="397"/>
      <c r="M8" s="397"/>
    </row>
    <row r="9" spans="1:13" x14ac:dyDescent="0.3">
      <c r="A9" s="563" t="s">
        <v>1</v>
      </c>
      <c r="B9" s="564" t="s">
        <v>56</v>
      </c>
      <c r="C9" s="552">
        <v>0</v>
      </c>
      <c r="D9" s="552" t="s">
        <v>45</v>
      </c>
      <c r="E9" s="552"/>
      <c r="F9" s="552">
        <v>-592550</v>
      </c>
      <c r="G9" s="552" t="s">
        <v>45</v>
      </c>
      <c r="H9" s="552"/>
      <c r="I9" s="552" t="s">
        <v>45</v>
      </c>
      <c r="J9" s="553" t="s">
        <v>45</v>
      </c>
      <c r="K9" s="1234" t="s">
        <v>299</v>
      </c>
      <c r="L9" s="397"/>
      <c r="M9" s="397"/>
    </row>
    <row r="10" spans="1:13" x14ac:dyDescent="0.3">
      <c r="A10" s="563" t="s">
        <v>1</v>
      </c>
      <c r="B10" s="564" t="s">
        <v>64</v>
      </c>
      <c r="C10" s="552">
        <v>0</v>
      </c>
      <c r="D10" s="552" t="s">
        <v>45</v>
      </c>
      <c r="E10" s="554"/>
      <c r="F10" s="552">
        <v>0</v>
      </c>
      <c r="G10" s="552" t="s">
        <v>45</v>
      </c>
      <c r="H10" s="554"/>
      <c r="I10" s="552" t="s">
        <v>45</v>
      </c>
      <c r="J10" s="553" t="s">
        <v>45</v>
      </c>
      <c r="K10" s="1234" t="s">
        <v>300</v>
      </c>
      <c r="L10" s="397"/>
      <c r="M10" s="397"/>
    </row>
    <row r="11" spans="1:13" ht="14.4" thickBot="1" x14ac:dyDescent="0.35">
      <c r="A11" s="565" t="s">
        <v>1</v>
      </c>
      <c r="B11" s="566" t="s">
        <v>270</v>
      </c>
      <c r="C11" s="555">
        <v>0</v>
      </c>
      <c r="D11" s="555" t="s">
        <v>45</v>
      </c>
      <c r="E11" s="556"/>
      <c r="F11" s="555">
        <v>-1154367.25</v>
      </c>
      <c r="G11" s="555" t="s">
        <v>45</v>
      </c>
      <c r="H11" s="556"/>
      <c r="I11" s="555" t="s">
        <v>45</v>
      </c>
      <c r="J11" s="936" t="s">
        <v>45</v>
      </c>
      <c r="K11" s="802" t="s">
        <v>301</v>
      </c>
      <c r="L11" s="397"/>
      <c r="M11" s="397"/>
    </row>
    <row r="12" spans="1:13" s="321" customFormat="1" x14ac:dyDescent="0.3">
      <c r="A12" s="567"/>
      <c r="B12" s="568"/>
      <c r="C12" s="181"/>
      <c r="D12" s="181"/>
      <c r="E12" s="322"/>
      <c r="F12" s="181"/>
      <c r="G12" s="181"/>
      <c r="H12" s="322"/>
      <c r="I12" s="181"/>
      <c r="J12" s="181"/>
      <c r="K12" s="398"/>
      <c r="L12" s="399"/>
      <c r="M12" s="399"/>
    </row>
    <row r="13" spans="1:13" s="321" customFormat="1" ht="14.4" x14ac:dyDescent="0.3">
      <c r="A13" s="570" t="s">
        <v>387</v>
      </c>
      <c r="B13" s="568"/>
      <c r="C13" s="181"/>
      <c r="D13" s="322"/>
      <c r="E13" s="322"/>
      <c r="F13" s="181"/>
      <c r="G13" s="322"/>
      <c r="H13" s="322"/>
      <c r="I13" s="181"/>
      <c r="J13" s="322"/>
      <c r="K13" s="398"/>
      <c r="L13" s="399"/>
      <c r="M13" s="399"/>
    </row>
    <row r="14" spans="1:13" s="321" customFormat="1" ht="14.4" x14ac:dyDescent="0.3">
      <c r="A14" s="570" t="s">
        <v>388</v>
      </c>
      <c r="B14" s="568"/>
      <c r="C14" s="181"/>
      <c r="D14" s="322"/>
      <c r="E14" s="322"/>
      <c r="F14" s="181"/>
      <c r="G14" s="322"/>
      <c r="H14" s="322"/>
      <c r="I14" s="181"/>
      <c r="J14" s="322"/>
      <c r="K14" s="398"/>
      <c r="L14" s="399"/>
      <c r="M14" s="399"/>
    </row>
    <row r="15" spans="1:13" s="321" customFormat="1" ht="14.4" thickBot="1" x14ac:dyDescent="0.35">
      <c r="A15" s="567"/>
      <c r="B15" s="568"/>
      <c r="C15" s="181"/>
      <c r="D15" s="322"/>
      <c r="E15" s="322"/>
      <c r="F15" s="181"/>
      <c r="G15" s="322"/>
      <c r="H15" s="322"/>
      <c r="I15" s="181"/>
      <c r="J15" s="322"/>
      <c r="K15" s="398"/>
      <c r="L15" s="399"/>
      <c r="M15" s="399"/>
    </row>
    <row r="16" spans="1:13" x14ac:dyDescent="0.3">
      <c r="A16" s="571"/>
      <c r="B16" s="829"/>
      <c r="C16" s="593"/>
      <c r="D16" s="594" t="s">
        <v>72</v>
      </c>
      <c r="E16" s="594"/>
      <c r="F16" s="594"/>
      <c r="G16" s="593"/>
      <c r="H16" s="593"/>
      <c r="I16" s="593"/>
      <c r="J16" s="595"/>
    </row>
    <row r="17" spans="1:13" x14ac:dyDescent="0.3">
      <c r="A17" s="573"/>
      <c r="B17" s="578"/>
      <c r="C17" s="387" t="s">
        <v>501</v>
      </c>
      <c r="D17" s="387" t="s">
        <v>501</v>
      </c>
      <c r="E17" s="388"/>
      <c r="F17" s="387" t="s">
        <v>501</v>
      </c>
      <c r="G17" s="387" t="s">
        <v>501</v>
      </c>
      <c r="H17" s="388"/>
      <c r="I17" s="387" t="s">
        <v>501</v>
      </c>
      <c r="J17" s="514" t="s">
        <v>501</v>
      </c>
    </row>
    <row r="18" spans="1:13" x14ac:dyDescent="0.3">
      <c r="A18" s="573"/>
      <c r="B18" s="574"/>
      <c r="C18" s="387" t="s">
        <v>239</v>
      </c>
      <c r="D18" s="387" t="s">
        <v>239</v>
      </c>
      <c r="E18" s="388"/>
      <c r="F18" s="387" t="s">
        <v>544</v>
      </c>
      <c r="G18" s="387" t="s">
        <v>544</v>
      </c>
      <c r="H18" s="388"/>
      <c r="I18" s="387" t="s">
        <v>116</v>
      </c>
      <c r="J18" s="514" t="s">
        <v>116</v>
      </c>
    </row>
    <row r="19" spans="1:13" x14ac:dyDescent="0.3">
      <c r="A19" s="573"/>
      <c r="B19" s="574"/>
      <c r="C19" s="596" t="s">
        <v>2</v>
      </c>
      <c r="D19" s="596" t="s">
        <v>3</v>
      </c>
      <c r="E19" s="596"/>
      <c r="F19" s="596" t="s">
        <v>2</v>
      </c>
      <c r="G19" s="596" t="s">
        <v>3</v>
      </c>
      <c r="H19" s="596"/>
      <c r="I19" s="596" t="s">
        <v>49</v>
      </c>
      <c r="J19" s="597" t="s">
        <v>3</v>
      </c>
      <c r="L19" s="402"/>
      <c r="M19" s="397"/>
    </row>
    <row r="20" spans="1:13" s="321" customFormat="1" x14ac:dyDescent="0.3">
      <c r="A20" s="575" t="s">
        <v>455</v>
      </c>
      <c r="B20" s="576" t="s">
        <v>123</v>
      </c>
      <c r="C20" s="387">
        <v>5478418.9900000012</v>
      </c>
      <c r="D20" s="387" t="s">
        <v>45</v>
      </c>
      <c r="E20" s="388"/>
      <c r="F20" s="387">
        <v>81918180</v>
      </c>
      <c r="G20" s="387" t="s">
        <v>45</v>
      </c>
      <c r="H20" s="388"/>
      <c r="I20" s="387" t="s">
        <v>45</v>
      </c>
      <c r="J20" s="514" t="s">
        <v>45</v>
      </c>
      <c r="K20" s="806"/>
      <c r="L20" s="399"/>
      <c r="M20" s="399"/>
    </row>
    <row r="21" spans="1:13" s="321" customFormat="1" x14ac:dyDescent="0.3">
      <c r="A21" s="577" t="s">
        <v>122</v>
      </c>
      <c r="B21" s="576" t="s">
        <v>123</v>
      </c>
      <c r="C21" s="387">
        <v>379051.13999999996</v>
      </c>
      <c r="D21" s="387" t="s">
        <v>45</v>
      </c>
      <c r="E21" s="388"/>
      <c r="F21" s="387">
        <v>9132523.5300000012</v>
      </c>
      <c r="G21" s="387" t="s">
        <v>45</v>
      </c>
      <c r="H21" s="388"/>
      <c r="I21" s="387" t="s">
        <v>45</v>
      </c>
      <c r="J21" s="514" t="s">
        <v>45</v>
      </c>
      <c r="K21" s="398"/>
      <c r="L21" s="399"/>
      <c r="M21" s="399"/>
    </row>
    <row r="22" spans="1:13" s="321" customFormat="1" x14ac:dyDescent="0.3">
      <c r="A22" s="577" t="s">
        <v>121</v>
      </c>
      <c r="B22" s="576" t="s">
        <v>123</v>
      </c>
      <c r="C22" s="387">
        <v>1358.8000000000002</v>
      </c>
      <c r="D22" s="387" t="s">
        <v>45</v>
      </c>
      <c r="E22" s="388"/>
      <c r="F22" s="387">
        <v>75977.03</v>
      </c>
      <c r="G22" s="387" t="s">
        <v>45</v>
      </c>
      <c r="H22" s="388"/>
      <c r="I22" s="387" t="s">
        <v>45</v>
      </c>
      <c r="J22" s="514" t="s">
        <v>45</v>
      </c>
      <c r="K22" s="398"/>
      <c r="L22" s="399"/>
      <c r="M22" s="399"/>
    </row>
    <row r="23" spans="1:13" s="321" customFormat="1" ht="6" customHeight="1" x14ac:dyDescent="0.3">
      <c r="A23" s="577"/>
      <c r="B23" s="578"/>
      <c r="C23" s="387"/>
      <c r="D23" s="388"/>
      <c r="E23" s="388"/>
      <c r="F23" s="387"/>
      <c r="G23" s="388"/>
      <c r="H23" s="388"/>
      <c r="I23" s="388"/>
      <c r="J23" s="1193"/>
      <c r="K23" s="398"/>
      <c r="L23" s="399"/>
      <c r="M23" s="399"/>
    </row>
    <row r="24" spans="1:13" s="321" customFormat="1" x14ac:dyDescent="0.3">
      <c r="A24" s="575" t="s">
        <v>1</v>
      </c>
      <c r="B24" s="576" t="s">
        <v>130</v>
      </c>
      <c r="C24" s="392">
        <v>440377.37</v>
      </c>
      <c r="D24" s="387" t="s">
        <v>45</v>
      </c>
      <c r="E24" s="388"/>
      <c r="F24" s="387">
        <v>3751057.9600000004</v>
      </c>
      <c r="G24" s="387" t="s">
        <v>45</v>
      </c>
      <c r="H24" s="388"/>
      <c r="I24" s="387" t="s">
        <v>45</v>
      </c>
      <c r="J24" s="514" t="s">
        <v>45</v>
      </c>
      <c r="K24" s="364"/>
      <c r="L24" s="399"/>
      <c r="M24" s="399"/>
    </row>
    <row r="25" spans="1:13" s="321" customFormat="1" x14ac:dyDescent="0.3">
      <c r="A25" s="577" t="s">
        <v>122</v>
      </c>
      <c r="B25" s="578" t="s">
        <v>130</v>
      </c>
      <c r="C25" s="387">
        <v>7938.21</v>
      </c>
      <c r="D25" s="387" t="s">
        <v>45</v>
      </c>
      <c r="E25" s="388"/>
      <c r="F25" s="387">
        <v>87614.87000000001</v>
      </c>
      <c r="G25" s="387" t="s">
        <v>45</v>
      </c>
      <c r="H25" s="388"/>
      <c r="I25" s="387" t="s">
        <v>45</v>
      </c>
      <c r="J25" s="514" t="s">
        <v>45</v>
      </c>
      <c r="K25" s="398"/>
      <c r="L25" s="399"/>
      <c r="M25" s="399"/>
    </row>
    <row r="26" spans="1:13" s="321" customFormat="1" x14ac:dyDescent="0.3">
      <c r="A26" s="577" t="s">
        <v>121</v>
      </c>
      <c r="B26" s="578" t="s">
        <v>130</v>
      </c>
      <c r="C26" s="387">
        <v>101.69</v>
      </c>
      <c r="D26" s="387" t="s">
        <v>45</v>
      </c>
      <c r="E26" s="388"/>
      <c r="F26" s="387">
        <v>5150.5</v>
      </c>
      <c r="G26" s="387" t="s">
        <v>45</v>
      </c>
      <c r="H26" s="388"/>
      <c r="I26" s="387" t="s">
        <v>45</v>
      </c>
      <c r="J26" s="514" t="s">
        <v>45</v>
      </c>
      <c r="K26" s="398"/>
      <c r="L26" s="399"/>
      <c r="M26" s="399"/>
    </row>
    <row r="27" spans="1:13" s="321" customFormat="1" x14ac:dyDescent="0.3">
      <c r="A27" s="577"/>
      <c r="B27" s="578"/>
      <c r="C27" s="387"/>
      <c r="D27" s="388"/>
      <c r="E27" s="388"/>
      <c r="F27" s="387"/>
      <c r="G27" s="388"/>
      <c r="H27" s="388"/>
      <c r="I27" s="387"/>
      <c r="J27" s="1193"/>
      <c r="K27" s="398"/>
      <c r="L27" s="399"/>
      <c r="M27" s="399"/>
    </row>
    <row r="28" spans="1:13" s="321" customFormat="1" ht="14.4" customHeight="1" x14ac:dyDescent="0.3">
      <c r="A28" s="575" t="s">
        <v>1</v>
      </c>
      <c r="B28" s="1147" t="s">
        <v>384</v>
      </c>
      <c r="C28" s="1148">
        <v>0</v>
      </c>
      <c r="D28" s="387">
        <v>0</v>
      </c>
      <c r="E28" s="388"/>
      <c r="F28" s="387">
        <v>0</v>
      </c>
      <c r="G28" s="387">
        <v>0</v>
      </c>
      <c r="H28" s="388"/>
      <c r="I28" s="387">
        <v>0</v>
      </c>
      <c r="J28" s="514">
        <v>0</v>
      </c>
      <c r="K28" s="398"/>
      <c r="L28" s="399"/>
      <c r="M28" s="399"/>
    </row>
    <row r="29" spans="1:13" s="321" customFormat="1" ht="14.4" customHeight="1" thickBot="1" x14ac:dyDescent="0.35">
      <c r="A29" s="582" t="s">
        <v>1</v>
      </c>
      <c r="B29" s="1149" t="s">
        <v>385</v>
      </c>
      <c r="C29" s="995">
        <v>0</v>
      </c>
      <c r="D29" s="518">
        <v>0</v>
      </c>
      <c r="E29" s="519"/>
      <c r="F29" s="518">
        <v>0</v>
      </c>
      <c r="G29" s="518">
        <v>0</v>
      </c>
      <c r="H29" s="519"/>
      <c r="I29" s="518">
        <v>0</v>
      </c>
      <c r="J29" s="1002">
        <v>0</v>
      </c>
      <c r="K29" s="802" t="s">
        <v>392</v>
      </c>
      <c r="L29" s="399"/>
      <c r="M29" s="399"/>
    </row>
    <row r="30" spans="1:13" s="321" customFormat="1" x14ac:dyDescent="0.3">
      <c r="A30" s="567"/>
      <c r="B30" s="581"/>
      <c r="C30" s="393"/>
      <c r="D30" s="322"/>
      <c r="E30" s="322"/>
      <c r="F30" s="341"/>
      <c r="G30" s="322"/>
      <c r="H30" s="322"/>
      <c r="I30" s="181"/>
      <c r="J30" s="322"/>
      <c r="K30" s="364"/>
      <c r="L30" s="399"/>
      <c r="M30" s="399"/>
    </row>
    <row r="31" spans="1:13" s="321" customFormat="1" x14ac:dyDescent="0.3">
      <c r="A31" s="567"/>
      <c r="B31" s="581"/>
      <c r="C31" s="393"/>
      <c r="D31" s="322"/>
      <c r="E31" s="322"/>
      <c r="F31" s="181"/>
      <c r="G31" s="322"/>
      <c r="H31" s="322"/>
      <c r="I31" s="181"/>
      <c r="J31" s="322"/>
      <c r="K31" s="364"/>
      <c r="L31" s="399"/>
      <c r="M31" s="399"/>
    </row>
    <row r="32" spans="1:13" s="321" customFormat="1" ht="15" thickBot="1" x14ac:dyDescent="0.35">
      <c r="A32" s="1235" t="s">
        <v>475</v>
      </c>
      <c r="B32" s="581"/>
      <c r="C32" s="393"/>
      <c r="D32" s="322"/>
      <c r="E32" s="322"/>
      <c r="F32" s="181"/>
      <c r="G32" s="322"/>
      <c r="H32" s="322"/>
      <c r="I32" s="181"/>
      <c r="J32" s="322"/>
      <c r="K32" s="364"/>
      <c r="L32" s="399"/>
      <c r="M32" s="399"/>
    </row>
    <row r="33" spans="1:13" s="321" customFormat="1" x14ac:dyDescent="0.3">
      <c r="A33" s="823"/>
      <c r="B33" s="832"/>
      <c r="C33" s="817"/>
      <c r="D33" s="818" t="s">
        <v>72</v>
      </c>
      <c r="E33" s="818"/>
      <c r="F33" s="818"/>
      <c r="G33" s="817"/>
      <c r="H33" s="817"/>
      <c r="I33" s="817"/>
      <c r="J33" s="819"/>
      <c r="K33" s="364"/>
      <c r="L33" s="399"/>
      <c r="M33" s="399"/>
    </row>
    <row r="34" spans="1:13" s="321" customFormat="1" x14ac:dyDescent="0.3">
      <c r="A34" s="824"/>
      <c r="B34" s="825"/>
      <c r="C34" s="626" t="s">
        <v>501</v>
      </c>
      <c r="D34" s="626" t="s">
        <v>501</v>
      </c>
      <c r="E34" s="625"/>
      <c r="F34" s="626" t="s">
        <v>501</v>
      </c>
      <c r="G34" s="626" t="s">
        <v>501</v>
      </c>
      <c r="H34" s="625"/>
      <c r="I34" s="626" t="s">
        <v>501</v>
      </c>
      <c r="J34" s="666" t="s">
        <v>501</v>
      </c>
      <c r="K34" s="364"/>
      <c r="L34" s="399"/>
      <c r="M34" s="399"/>
    </row>
    <row r="35" spans="1:13" s="321" customFormat="1" x14ac:dyDescent="0.3">
      <c r="A35" s="824"/>
      <c r="B35" s="825"/>
      <c r="C35" s="626" t="s">
        <v>239</v>
      </c>
      <c r="D35" s="626" t="s">
        <v>239</v>
      </c>
      <c r="E35" s="625"/>
      <c r="F35" s="626" t="s">
        <v>546</v>
      </c>
      <c r="G35" s="626" t="s">
        <v>546</v>
      </c>
      <c r="H35" s="625"/>
      <c r="I35" s="626" t="s">
        <v>457</v>
      </c>
      <c r="J35" s="666" t="s">
        <v>457</v>
      </c>
      <c r="K35" s="364"/>
      <c r="L35" s="399"/>
      <c r="M35" s="399"/>
    </row>
    <row r="36" spans="1:13" s="321" customFormat="1" x14ac:dyDescent="0.3">
      <c r="A36" s="824"/>
      <c r="B36" s="825"/>
      <c r="C36" s="634" t="s">
        <v>2</v>
      </c>
      <c r="D36" s="634" t="s">
        <v>17</v>
      </c>
      <c r="E36" s="634"/>
      <c r="F36" s="634" t="s">
        <v>2</v>
      </c>
      <c r="G36" s="634" t="s">
        <v>17</v>
      </c>
      <c r="H36" s="634"/>
      <c r="I36" s="634" t="s">
        <v>49</v>
      </c>
      <c r="J36" s="635" t="s">
        <v>17</v>
      </c>
      <c r="K36" s="364"/>
      <c r="L36" s="399"/>
      <c r="M36" s="399"/>
    </row>
    <row r="37" spans="1:13" s="321" customFormat="1" x14ac:dyDescent="0.3">
      <c r="A37" s="826"/>
      <c r="B37" s="494"/>
      <c r="C37" s="626"/>
      <c r="D37" s="626"/>
      <c r="E37" s="625"/>
      <c r="F37" s="626"/>
      <c r="G37" s="626"/>
      <c r="H37" s="625"/>
      <c r="I37" s="626"/>
      <c r="J37" s="666"/>
      <c r="K37" s="364"/>
      <c r="L37" s="399"/>
      <c r="M37" s="399"/>
    </row>
    <row r="38" spans="1:13" s="321" customFormat="1" x14ac:dyDescent="0.3">
      <c r="A38" s="826" t="s">
        <v>453</v>
      </c>
      <c r="B38" s="494" t="s">
        <v>76</v>
      </c>
      <c r="C38" s="626">
        <v>90577.570000000022</v>
      </c>
      <c r="D38" s="626" t="s">
        <v>45</v>
      </c>
      <c r="E38" s="625"/>
      <c r="F38" s="626">
        <v>1404856.54</v>
      </c>
      <c r="G38" s="626" t="s">
        <v>45</v>
      </c>
      <c r="H38" s="625"/>
      <c r="I38" s="626" t="s">
        <v>45</v>
      </c>
      <c r="J38" s="666" t="s">
        <v>45</v>
      </c>
      <c r="K38" s="364"/>
      <c r="L38" s="399"/>
      <c r="M38" s="399"/>
    </row>
    <row r="39" spans="1:13" s="321" customFormat="1" x14ac:dyDescent="0.3">
      <c r="A39" s="826"/>
      <c r="B39" s="494" t="s">
        <v>130</v>
      </c>
      <c r="C39" s="626">
        <v>5155.28</v>
      </c>
      <c r="D39" s="626" t="s">
        <v>45</v>
      </c>
      <c r="E39" s="625"/>
      <c r="F39" s="626">
        <v>56217.14</v>
      </c>
      <c r="G39" s="626" t="s">
        <v>45</v>
      </c>
      <c r="H39" s="625"/>
      <c r="I39" s="626" t="s">
        <v>45</v>
      </c>
      <c r="J39" s="666" t="s">
        <v>45</v>
      </c>
      <c r="K39" s="364"/>
      <c r="L39" s="399"/>
      <c r="M39" s="399"/>
    </row>
    <row r="40" spans="1:13" s="321" customFormat="1" ht="14.4" thickBot="1" x14ac:dyDescent="0.35">
      <c r="A40" s="827"/>
      <c r="B40" s="828" t="s">
        <v>476</v>
      </c>
      <c r="C40" s="820" t="s">
        <v>45</v>
      </c>
      <c r="D40" s="820" t="s">
        <v>45</v>
      </c>
      <c r="E40" s="821"/>
      <c r="F40" s="820" t="s">
        <v>45</v>
      </c>
      <c r="G40" s="820" t="s">
        <v>45</v>
      </c>
      <c r="H40" s="821"/>
      <c r="I40" s="820" t="s">
        <v>45</v>
      </c>
      <c r="J40" s="822" t="s">
        <v>45</v>
      </c>
      <c r="K40" s="831"/>
      <c r="L40" s="399"/>
      <c r="M40" s="399"/>
    </row>
    <row r="41" spans="1:13" s="321" customFormat="1" x14ac:dyDescent="0.3">
      <c r="A41" s="567"/>
      <c r="B41" s="581"/>
      <c r="C41" s="393"/>
      <c r="D41" s="393"/>
      <c r="E41" s="393"/>
      <c r="F41" s="393"/>
      <c r="G41" s="393"/>
      <c r="H41" s="393"/>
      <c r="I41" s="393"/>
      <c r="J41" s="393"/>
      <c r="K41" s="364"/>
      <c r="L41" s="399"/>
      <c r="M41" s="399"/>
    </row>
    <row r="42" spans="1:13" s="321" customFormat="1" x14ac:dyDescent="0.3">
      <c r="A42" s="1238" t="s">
        <v>390</v>
      </c>
      <c r="B42" s="1239"/>
      <c r="C42" s="584">
        <f>C20-C21-C22+C29</f>
        <v>5098009.0500000017</v>
      </c>
      <c r="D42" s="584">
        <f>D20-D21-D22+D29</f>
        <v>0</v>
      </c>
      <c r="E42" s="584"/>
      <c r="F42" s="584">
        <f>+F20-F21-F22-F38+F28</f>
        <v>71304822.899999991</v>
      </c>
      <c r="G42" s="584">
        <f>G20-G21-G22+G29</f>
        <v>0</v>
      </c>
      <c r="H42" s="584"/>
      <c r="I42" s="584">
        <f>I20-I21-I22+I29</f>
        <v>0</v>
      </c>
      <c r="J42" s="584">
        <f>J20-J21-J22+J29</f>
        <v>0</v>
      </c>
      <c r="K42" s="364"/>
      <c r="L42" s="399"/>
      <c r="M42" s="399"/>
    </row>
    <row r="43" spans="1:13" s="321" customFormat="1" x14ac:dyDescent="0.3">
      <c r="A43" s="1238" t="s">
        <v>391</v>
      </c>
      <c r="B43" s="1239"/>
      <c r="C43" s="584">
        <f>+C24-C25-C26-C39+C29</f>
        <v>427182.18999999994</v>
      </c>
      <c r="D43" s="584">
        <f>D24-D26-D25</f>
        <v>0</v>
      </c>
      <c r="E43" s="585"/>
      <c r="F43" s="584">
        <f>+F24-F25-F26-F39+F29</f>
        <v>3602075.45</v>
      </c>
      <c r="G43" s="584">
        <f>G24-G26-G25</f>
        <v>0</v>
      </c>
      <c r="H43" s="585"/>
      <c r="I43" s="584">
        <f>I24-I26-I25</f>
        <v>0</v>
      </c>
      <c r="J43" s="584">
        <f>J24-J26-J25</f>
        <v>0</v>
      </c>
      <c r="K43" s="364"/>
      <c r="L43" s="399"/>
      <c r="M43" s="399"/>
    </row>
    <row r="44" spans="1:13" s="321" customFormat="1" ht="14.4" thickBot="1" x14ac:dyDescent="0.35">
      <c r="A44" s="567"/>
      <c r="B44" s="581"/>
      <c r="C44" s="393"/>
      <c r="D44" s="322"/>
      <c r="E44" s="322"/>
      <c r="F44" s="181"/>
      <c r="G44" s="322"/>
      <c r="H44" s="322"/>
      <c r="I44" s="181"/>
      <c r="J44" s="322"/>
      <c r="K44" s="364"/>
      <c r="L44" s="399"/>
      <c r="M44" s="399"/>
    </row>
    <row r="45" spans="1:13" s="321" customFormat="1" ht="14.4" thickBot="1" x14ac:dyDescent="0.35">
      <c r="A45" s="1238" t="s">
        <v>393</v>
      </c>
      <c r="B45" s="1239"/>
      <c r="C45" s="586">
        <f>+C20-C21-C22-C24+C25+C26+C28-C38+C39</f>
        <v>4580249.2900000019</v>
      </c>
      <c r="D45" s="586">
        <f>D42-D43</f>
        <v>0</v>
      </c>
      <c r="E45" s="587"/>
      <c r="F45" s="698">
        <f>+F20-F21-F22-F24+F25+F26+F28-F38+F39</f>
        <v>67702747.450000003</v>
      </c>
      <c r="G45" s="586">
        <f>G42-G43</f>
        <v>0</v>
      </c>
      <c r="H45" s="587"/>
      <c r="I45" s="919">
        <f>I42-I43</f>
        <v>0</v>
      </c>
      <c r="J45" s="586">
        <f>J42-J43</f>
        <v>0</v>
      </c>
      <c r="K45" s="364"/>
      <c r="L45" s="399"/>
      <c r="M45" s="399"/>
    </row>
    <row r="46" spans="1:13" s="321" customFormat="1" x14ac:dyDescent="0.3">
      <c r="A46" s="1145"/>
      <c r="B46" s="1145"/>
      <c r="C46" s="1034"/>
      <c r="D46" s="1034"/>
      <c r="E46" s="540"/>
      <c r="F46" s="1034"/>
      <c r="G46" s="1034"/>
      <c r="H46" s="540"/>
      <c r="I46" s="1034"/>
      <c r="J46" s="1034"/>
      <c r="K46" s="364"/>
      <c r="L46" s="399"/>
      <c r="M46" s="399"/>
    </row>
    <row r="47" spans="1:13" s="321" customFormat="1" x14ac:dyDescent="0.3">
      <c r="A47" s="1236" t="s">
        <v>160</v>
      </c>
      <c r="B47" s="1145"/>
      <c r="C47" s="1034"/>
      <c r="D47" s="1034"/>
      <c r="E47" s="540"/>
      <c r="F47" s="1034"/>
      <c r="G47" s="1034"/>
      <c r="H47" s="540"/>
      <c r="I47" s="1034"/>
      <c r="J47" s="1034"/>
      <c r="K47" s="364"/>
      <c r="L47" s="399"/>
      <c r="M47" s="399"/>
    </row>
    <row r="48" spans="1:13" s="321" customFormat="1" ht="14.4" thickBot="1" x14ac:dyDescent="0.35">
      <c r="A48" s="567"/>
      <c r="B48" s="581"/>
      <c r="C48" s="393"/>
      <c r="D48" s="322"/>
      <c r="E48" s="322"/>
      <c r="F48" s="181"/>
      <c r="G48" s="322"/>
      <c r="H48" s="322"/>
      <c r="I48" s="181"/>
      <c r="J48" s="322"/>
      <c r="K48" s="364"/>
      <c r="L48" s="399"/>
      <c r="M48" s="399"/>
    </row>
    <row r="49" spans="1:13" x14ac:dyDescent="0.3">
      <c r="A49" s="571"/>
      <c r="B49" s="572"/>
      <c r="C49" s="593"/>
      <c r="D49" s="594" t="s">
        <v>72</v>
      </c>
      <c r="E49" s="594"/>
      <c r="F49" s="594"/>
      <c r="G49" s="593"/>
      <c r="H49" s="593"/>
      <c r="I49" s="593"/>
      <c r="J49" s="595"/>
    </row>
    <row r="50" spans="1:13" x14ac:dyDescent="0.3">
      <c r="A50" s="573"/>
      <c r="B50" s="574"/>
      <c r="C50" s="387" t="s">
        <v>501</v>
      </c>
      <c r="D50" s="387" t="s">
        <v>501</v>
      </c>
      <c r="E50" s="388"/>
      <c r="F50" s="387" t="s">
        <v>501</v>
      </c>
      <c r="G50" s="387" t="s">
        <v>501</v>
      </c>
      <c r="H50" s="388"/>
      <c r="I50" s="387" t="s">
        <v>501</v>
      </c>
      <c r="J50" s="514" t="s">
        <v>501</v>
      </c>
    </row>
    <row r="51" spans="1:13" x14ac:dyDescent="0.3">
      <c r="A51" s="573"/>
      <c r="B51" s="574"/>
      <c r="C51" s="387" t="s">
        <v>239</v>
      </c>
      <c r="D51" s="387" t="s">
        <v>239</v>
      </c>
      <c r="E51" s="388"/>
      <c r="F51" s="387" t="s">
        <v>544</v>
      </c>
      <c r="G51" s="387" t="s">
        <v>544</v>
      </c>
      <c r="H51" s="388"/>
      <c r="I51" s="387" t="s">
        <v>116</v>
      </c>
      <c r="J51" s="514" t="s">
        <v>116</v>
      </c>
    </row>
    <row r="52" spans="1:13" x14ac:dyDescent="0.3">
      <c r="A52" s="573"/>
      <c r="B52" s="574"/>
      <c r="C52" s="944" t="s">
        <v>2</v>
      </c>
      <c r="D52" s="944" t="s">
        <v>3</v>
      </c>
      <c r="E52" s="945"/>
      <c r="F52" s="944" t="s">
        <v>2</v>
      </c>
      <c r="G52" s="944" t="s">
        <v>3</v>
      </c>
      <c r="H52" s="945"/>
      <c r="I52" s="944" t="s">
        <v>49</v>
      </c>
      <c r="J52" s="946" t="s">
        <v>3</v>
      </c>
      <c r="L52" s="397"/>
      <c r="M52" s="397"/>
    </row>
    <row r="53" spans="1:13" s="321" customFormat="1" x14ac:dyDescent="0.3">
      <c r="A53" s="575" t="s">
        <v>1</v>
      </c>
      <c r="B53" s="578" t="s">
        <v>160</v>
      </c>
      <c r="C53" s="387">
        <v>0</v>
      </c>
      <c r="D53" s="387" t="s">
        <v>45</v>
      </c>
      <c r="E53" s="388"/>
      <c r="F53" s="387">
        <v>9264390.5299999993</v>
      </c>
      <c r="G53" s="387" t="s">
        <v>45</v>
      </c>
      <c r="H53" s="388"/>
      <c r="I53" s="387" t="s">
        <v>45</v>
      </c>
      <c r="J53" s="514" t="s">
        <v>45</v>
      </c>
      <c r="K53" s="398"/>
      <c r="L53" s="399"/>
      <c r="M53" s="399"/>
    </row>
    <row r="54" spans="1:13" s="321" customFormat="1" ht="14.4" thickBot="1" x14ac:dyDescent="0.35">
      <c r="A54" s="582" t="s">
        <v>1</v>
      </c>
      <c r="B54" s="580" t="s">
        <v>198</v>
      </c>
      <c r="C54" s="518">
        <v>0</v>
      </c>
      <c r="D54" s="518" t="s">
        <v>45</v>
      </c>
      <c r="E54" s="519"/>
      <c r="F54" s="518">
        <v>1674996.8299999998</v>
      </c>
      <c r="G54" s="518" t="s">
        <v>45</v>
      </c>
      <c r="H54" s="519"/>
      <c r="I54" s="518" t="s">
        <v>45</v>
      </c>
      <c r="J54" s="1002" t="s">
        <v>45</v>
      </c>
      <c r="K54" s="398"/>
      <c r="L54" s="399"/>
      <c r="M54" s="399"/>
    </row>
    <row r="55" spans="1:13" s="321" customFormat="1" x14ac:dyDescent="0.3">
      <c r="A55" s="567"/>
      <c r="B55" s="568"/>
      <c r="C55" s="181"/>
      <c r="D55" s="181"/>
      <c r="E55" s="181"/>
      <c r="F55" s="181"/>
      <c r="G55" s="181"/>
      <c r="H55" s="181"/>
      <c r="I55" s="181"/>
      <c r="J55" s="181"/>
      <c r="K55" s="398"/>
      <c r="L55" s="399"/>
      <c r="M55" s="399"/>
    </row>
    <row r="56" spans="1:13" s="321" customFormat="1" ht="14.4" thickBot="1" x14ac:dyDescent="0.35">
      <c r="A56" s="1238" t="s">
        <v>394</v>
      </c>
      <c r="B56" s="1239"/>
      <c r="C56" s="586">
        <f>C53-C54</f>
        <v>0</v>
      </c>
      <c r="D56" s="586">
        <f>D53-D54</f>
        <v>0</v>
      </c>
      <c r="E56" s="587"/>
      <c r="F56" s="586">
        <f>F53-F54</f>
        <v>7589393.6999999993</v>
      </c>
      <c r="G56" s="586">
        <f>G53-G54</f>
        <v>0</v>
      </c>
      <c r="H56" s="587"/>
      <c r="I56" s="586">
        <f>I53-I54</f>
        <v>0</v>
      </c>
      <c r="J56" s="586">
        <f>J53-J54</f>
        <v>0</v>
      </c>
      <c r="K56" s="831"/>
      <c r="L56" s="399"/>
      <c r="M56" s="399"/>
    </row>
    <row r="57" spans="1:13" s="321" customFormat="1" x14ac:dyDescent="0.3">
      <c r="A57" s="567"/>
      <c r="B57" s="568"/>
      <c r="C57" s="181"/>
      <c r="D57" s="322"/>
      <c r="E57" s="322"/>
      <c r="F57" s="181"/>
      <c r="G57" s="322"/>
      <c r="H57" s="322"/>
      <c r="I57" s="322"/>
      <c r="J57" s="322"/>
      <c r="K57" s="398"/>
      <c r="L57" s="399"/>
      <c r="M57" s="399"/>
    </row>
    <row r="58" spans="1:13" s="321" customFormat="1" x14ac:dyDescent="0.3">
      <c r="A58" s="583"/>
      <c r="B58" s="583"/>
      <c r="C58" s="181"/>
      <c r="D58" s="322"/>
      <c r="E58" s="322"/>
      <c r="F58" s="181"/>
      <c r="G58" s="322"/>
      <c r="H58" s="322"/>
      <c r="I58" s="322"/>
      <c r="J58" s="322"/>
      <c r="K58" s="398"/>
      <c r="L58" s="399"/>
      <c r="M58" s="399"/>
    </row>
    <row r="59" spans="1:13" s="321" customFormat="1" ht="14.4" x14ac:dyDescent="0.3">
      <c r="A59" s="1233" t="s">
        <v>44</v>
      </c>
      <c r="B59" s="581"/>
      <c r="C59" s="393"/>
      <c r="D59" s="322"/>
      <c r="E59" s="322"/>
      <c r="F59" s="181"/>
      <c r="G59" s="322"/>
      <c r="H59" s="322"/>
      <c r="I59" s="181"/>
      <c r="J59" s="322"/>
      <c r="K59" s="364"/>
      <c r="L59" s="399"/>
      <c r="M59" s="399"/>
    </row>
    <row r="60" spans="1:13" s="321" customFormat="1" ht="14.4" thickBot="1" x14ac:dyDescent="0.35">
      <c r="A60" s="567"/>
      <c r="B60" s="581"/>
      <c r="C60" s="393"/>
      <c r="D60" s="322"/>
      <c r="E60" s="322"/>
      <c r="F60" s="181"/>
      <c r="G60" s="322"/>
      <c r="H60" s="322"/>
      <c r="I60" s="181"/>
      <c r="J60" s="322"/>
      <c r="K60" s="364"/>
      <c r="L60" s="399"/>
      <c r="M60" s="399"/>
    </row>
    <row r="61" spans="1:13" x14ac:dyDescent="0.3">
      <c r="A61" s="571"/>
      <c r="B61" s="572"/>
      <c r="C61" s="593"/>
      <c r="D61" s="594" t="s">
        <v>72</v>
      </c>
      <c r="E61" s="594"/>
      <c r="F61" s="594"/>
      <c r="G61" s="593"/>
      <c r="H61" s="593"/>
      <c r="I61" s="593"/>
      <c r="J61" s="595"/>
    </row>
    <row r="62" spans="1:13" x14ac:dyDescent="0.3">
      <c r="A62" s="573"/>
      <c r="B62" s="578"/>
      <c r="C62" s="387" t="s">
        <v>501</v>
      </c>
      <c r="D62" s="387" t="s">
        <v>501</v>
      </c>
      <c r="E62" s="388"/>
      <c r="F62" s="387" t="s">
        <v>501</v>
      </c>
      <c r="G62" s="387" t="s">
        <v>501</v>
      </c>
      <c r="H62" s="388"/>
      <c r="I62" s="387" t="s">
        <v>501</v>
      </c>
      <c r="J62" s="514" t="s">
        <v>501</v>
      </c>
    </row>
    <row r="63" spans="1:13" x14ac:dyDescent="0.3">
      <c r="A63" s="573"/>
      <c r="B63" s="574"/>
      <c r="C63" s="387" t="s">
        <v>239</v>
      </c>
      <c r="D63" s="387" t="s">
        <v>239</v>
      </c>
      <c r="E63" s="388"/>
      <c r="F63" s="387" t="s">
        <v>544</v>
      </c>
      <c r="G63" s="387" t="s">
        <v>544</v>
      </c>
      <c r="H63" s="388"/>
      <c r="I63" s="387" t="s">
        <v>116</v>
      </c>
      <c r="J63" s="514" t="s">
        <v>116</v>
      </c>
    </row>
    <row r="64" spans="1:13" x14ac:dyDescent="0.3">
      <c r="A64" s="573"/>
      <c r="B64" s="574"/>
      <c r="C64" s="596" t="s">
        <v>2</v>
      </c>
      <c r="D64" s="596" t="s">
        <v>3</v>
      </c>
      <c r="E64" s="596"/>
      <c r="F64" s="596" t="s">
        <v>2</v>
      </c>
      <c r="G64" s="596" t="s">
        <v>3</v>
      </c>
      <c r="H64" s="596"/>
      <c r="I64" s="596" t="s">
        <v>49</v>
      </c>
      <c r="J64" s="597" t="s">
        <v>3</v>
      </c>
      <c r="L64" s="397"/>
      <c r="M64" s="397"/>
    </row>
    <row r="65" spans="1:13" x14ac:dyDescent="0.3">
      <c r="A65" s="575" t="s">
        <v>1</v>
      </c>
      <c r="B65" s="578" t="s">
        <v>276</v>
      </c>
      <c r="C65" s="387" t="s">
        <v>45</v>
      </c>
      <c r="D65" s="387" t="s">
        <v>45</v>
      </c>
      <c r="E65" s="387"/>
      <c r="F65" s="387" t="s">
        <v>45</v>
      </c>
      <c r="G65" s="387" t="s">
        <v>45</v>
      </c>
      <c r="H65" s="387"/>
      <c r="I65" s="387" t="s">
        <v>45</v>
      </c>
      <c r="J65" s="514" t="s">
        <v>45</v>
      </c>
      <c r="K65" s="921"/>
      <c r="L65" s="921"/>
    </row>
    <row r="66" spans="1:13" x14ac:dyDescent="0.3">
      <c r="A66" s="575" t="s">
        <v>1</v>
      </c>
      <c r="B66" s="578" t="s">
        <v>277</v>
      </c>
      <c r="C66" s="387">
        <v>0</v>
      </c>
      <c r="D66" s="387" t="s">
        <v>45</v>
      </c>
      <c r="E66" s="387"/>
      <c r="F66" s="387">
        <v>790500</v>
      </c>
      <c r="G66" s="387" t="s">
        <v>45</v>
      </c>
      <c r="H66" s="387"/>
      <c r="I66" s="387" t="s">
        <v>45</v>
      </c>
      <c r="J66" s="514" t="s">
        <v>45</v>
      </c>
      <c r="K66" s="921"/>
      <c r="L66" s="921"/>
    </row>
    <row r="67" spans="1:13" x14ac:dyDescent="0.3">
      <c r="A67" s="575" t="s">
        <v>1</v>
      </c>
      <c r="B67" s="578" t="s">
        <v>278</v>
      </c>
      <c r="C67" s="387">
        <v>0</v>
      </c>
      <c r="D67" s="387" t="s">
        <v>45</v>
      </c>
      <c r="E67" s="387"/>
      <c r="F67" s="387">
        <v>-215293.49999999997</v>
      </c>
      <c r="G67" s="387" t="s">
        <v>45</v>
      </c>
      <c r="H67" s="387"/>
      <c r="I67" s="387" t="s">
        <v>45</v>
      </c>
      <c r="J67" s="514" t="s">
        <v>45</v>
      </c>
      <c r="K67" s="937"/>
      <c r="L67" s="921"/>
    </row>
    <row r="68" spans="1:13" x14ac:dyDescent="0.3">
      <c r="A68" s="575" t="s">
        <v>1</v>
      </c>
      <c r="B68" s="578" t="s">
        <v>105</v>
      </c>
      <c r="C68" s="387">
        <v>0</v>
      </c>
      <c r="D68" s="387" t="s">
        <v>45</v>
      </c>
      <c r="E68" s="387"/>
      <c r="F68" s="387">
        <v>152582.71</v>
      </c>
      <c r="G68" s="387" t="s">
        <v>45</v>
      </c>
      <c r="H68" s="387"/>
      <c r="I68" s="387" t="s">
        <v>45</v>
      </c>
      <c r="J68" s="514" t="s">
        <v>45</v>
      </c>
      <c r="K68" s="921"/>
      <c r="L68" s="921"/>
    </row>
    <row r="69" spans="1:13" x14ac:dyDescent="0.3">
      <c r="A69" s="575" t="s">
        <v>1</v>
      </c>
      <c r="B69" s="578" t="s">
        <v>468</v>
      </c>
      <c r="C69" s="387" t="s">
        <v>45</v>
      </c>
      <c r="D69" s="387" t="s">
        <v>45</v>
      </c>
      <c r="E69" s="387"/>
      <c r="F69" s="387" t="s">
        <v>45</v>
      </c>
      <c r="G69" s="387" t="s">
        <v>45</v>
      </c>
      <c r="H69" s="387"/>
      <c r="I69" s="387" t="s">
        <v>45</v>
      </c>
      <c r="J69" s="514" t="s">
        <v>45</v>
      </c>
      <c r="K69" s="921"/>
      <c r="L69" s="921"/>
    </row>
    <row r="70" spans="1:13" x14ac:dyDescent="0.3">
      <c r="A70" s="575" t="s">
        <v>1</v>
      </c>
      <c r="B70" s="578" t="s">
        <v>279</v>
      </c>
      <c r="C70" s="387">
        <v>-399.5</v>
      </c>
      <c r="D70" s="387" t="s">
        <v>45</v>
      </c>
      <c r="E70" s="387"/>
      <c r="F70" s="387">
        <v>47164.58</v>
      </c>
      <c r="G70" s="387" t="s">
        <v>45</v>
      </c>
      <c r="H70" s="387"/>
      <c r="I70" s="387" t="s">
        <v>45</v>
      </c>
      <c r="J70" s="514" t="s">
        <v>45</v>
      </c>
      <c r="K70" s="921"/>
      <c r="L70" s="921"/>
    </row>
    <row r="71" spans="1:13" x14ac:dyDescent="0.3">
      <c r="A71" s="575" t="s">
        <v>1</v>
      </c>
      <c r="B71" s="578" t="s">
        <v>280</v>
      </c>
      <c r="C71" s="387">
        <v>0</v>
      </c>
      <c r="D71" s="387" t="s">
        <v>45</v>
      </c>
      <c r="E71" s="387"/>
      <c r="F71" s="387">
        <v>11472.769999999997</v>
      </c>
      <c r="G71" s="387" t="s">
        <v>45</v>
      </c>
      <c r="H71" s="387"/>
      <c r="I71" s="387" t="s">
        <v>45</v>
      </c>
      <c r="J71" s="514" t="s">
        <v>45</v>
      </c>
      <c r="K71" s="921"/>
      <c r="L71" s="921"/>
    </row>
    <row r="72" spans="1:13" x14ac:dyDescent="0.3">
      <c r="A72" s="575" t="s">
        <v>1</v>
      </c>
      <c r="B72" s="578" t="s">
        <v>433</v>
      </c>
      <c r="C72" s="387" t="s">
        <v>45</v>
      </c>
      <c r="D72" s="387" t="s">
        <v>45</v>
      </c>
      <c r="E72" s="387"/>
      <c r="F72" s="387" t="s">
        <v>45</v>
      </c>
      <c r="G72" s="387" t="s">
        <v>45</v>
      </c>
      <c r="H72" s="387"/>
      <c r="I72" s="387" t="s">
        <v>45</v>
      </c>
      <c r="J72" s="514" t="s">
        <v>45</v>
      </c>
      <c r="K72" s="921"/>
      <c r="L72" s="921"/>
    </row>
    <row r="73" spans="1:13" x14ac:dyDescent="0.3">
      <c r="A73" s="575" t="s">
        <v>1</v>
      </c>
      <c r="B73" s="578" t="s">
        <v>281</v>
      </c>
      <c r="C73" s="387">
        <v>82852.5</v>
      </c>
      <c r="D73" s="387" t="s">
        <v>45</v>
      </c>
      <c r="E73" s="387"/>
      <c r="F73" s="387">
        <v>171327.51</v>
      </c>
      <c r="G73" s="387" t="s">
        <v>45</v>
      </c>
      <c r="H73" s="387"/>
      <c r="I73" s="387" t="s">
        <v>45</v>
      </c>
      <c r="J73" s="514" t="s">
        <v>45</v>
      </c>
      <c r="K73" s="922"/>
      <c r="L73" s="921"/>
    </row>
    <row r="74" spans="1:13" s="445" customFormat="1" x14ac:dyDescent="0.3">
      <c r="A74" s="575" t="s">
        <v>1</v>
      </c>
      <c r="B74" s="403" t="s">
        <v>118</v>
      </c>
      <c r="C74" s="387" t="s">
        <v>45</v>
      </c>
      <c r="D74" s="387" t="s">
        <v>45</v>
      </c>
      <c r="E74" s="388"/>
      <c r="F74" s="387" t="s">
        <v>45</v>
      </c>
      <c r="G74" s="387" t="s">
        <v>45</v>
      </c>
      <c r="H74" s="388"/>
      <c r="I74" s="387" t="s">
        <v>45</v>
      </c>
      <c r="J74" s="514" t="s">
        <v>45</v>
      </c>
      <c r="K74" s="938"/>
      <c r="L74" s="938"/>
      <c r="M74" s="939"/>
    </row>
    <row r="75" spans="1:13" x14ac:dyDescent="0.3">
      <c r="A75" s="599" t="s">
        <v>1</v>
      </c>
      <c r="B75" s="600" t="s">
        <v>161</v>
      </c>
      <c r="C75" s="601">
        <v>82453</v>
      </c>
      <c r="D75" s="601" t="s">
        <v>45</v>
      </c>
      <c r="E75" s="601"/>
      <c r="F75" s="601">
        <v>957754.07000000007</v>
      </c>
      <c r="G75" s="601" t="s">
        <v>45</v>
      </c>
      <c r="H75" s="601"/>
      <c r="I75" s="601" t="s">
        <v>45</v>
      </c>
      <c r="J75" s="602" t="s">
        <v>45</v>
      </c>
      <c r="K75" s="402"/>
    </row>
    <row r="76" spans="1:13" x14ac:dyDescent="0.3">
      <c r="A76" s="599" t="s">
        <v>1</v>
      </c>
      <c r="B76" s="600" t="s">
        <v>162</v>
      </c>
      <c r="C76" s="601" t="s">
        <v>45</v>
      </c>
      <c r="D76" s="601" t="s">
        <v>45</v>
      </c>
      <c r="E76" s="601"/>
      <c r="F76" s="601" t="s">
        <v>45</v>
      </c>
      <c r="G76" s="601" t="s">
        <v>45</v>
      </c>
      <c r="H76" s="601"/>
      <c r="I76" s="601" t="s">
        <v>45</v>
      </c>
      <c r="J76" s="602" t="s">
        <v>45</v>
      </c>
      <c r="K76" s="402"/>
    </row>
    <row r="77" spans="1:13" x14ac:dyDescent="0.3">
      <c r="A77" s="575" t="s">
        <v>1</v>
      </c>
      <c r="B77" s="578" t="s">
        <v>162</v>
      </c>
      <c r="C77" s="387" t="s">
        <v>45</v>
      </c>
      <c r="D77" s="387" t="s">
        <v>45</v>
      </c>
      <c r="E77" s="387"/>
      <c r="F77" s="387" t="s">
        <v>45</v>
      </c>
      <c r="G77" s="387" t="s">
        <v>45</v>
      </c>
      <c r="H77" s="387"/>
      <c r="I77" s="387" t="s">
        <v>45</v>
      </c>
      <c r="J77" s="514" t="s">
        <v>45</v>
      </c>
      <c r="K77" s="402"/>
    </row>
    <row r="78" spans="1:13" x14ac:dyDescent="0.3">
      <c r="A78" s="575" t="s">
        <v>1</v>
      </c>
      <c r="B78" s="578" t="s">
        <v>282</v>
      </c>
      <c r="C78" s="387">
        <v>0</v>
      </c>
      <c r="D78" s="387" t="s">
        <v>45</v>
      </c>
      <c r="E78" s="387"/>
      <c r="F78" s="387">
        <v>-143775.74</v>
      </c>
      <c r="G78" s="387" t="s">
        <v>45</v>
      </c>
      <c r="H78" s="387"/>
      <c r="I78" s="387" t="s">
        <v>45</v>
      </c>
      <c r="J78" s="514" t="s">
        <v>45</v>
      </c>
      <c r="K78" s="397"/>
    </row>
    <row r="79" spans="1:13" x14ac:dyDescent="0.3">
      <c r="A79" s="575" t="s">
        <v>1</v>
      </c>
      <c r="B79" s="578" t="s">
        <v>283</v>
      </c>
      <c r="C79" s="387">
        <v>0</v>
      </c>
      <c r="D79" s="387" t="s">
        <v>45</v>
      </c>
      <c r="E79" s="387"/>
      <c r="F79" s="387">
        <v>46.019999999999996</v>
      </c>
      <c r="G79" s="387" t="s">
        <v>45</v>
      </c>
      <c r="H79" s="387"/>
      <c r="I79" s="387" t="s">
        <v>45</v>
      </c>
      <c r="J79" s="514" t="s">
        <v>45</v>
      </c>
      <c r="K79" s="397"/>
      <c r="L79" s="517"/>
    </row>
    <row r="80" spans="1:13" x14ac:dyDescent="0.3">
      <c r="A80" s="575" t="s">
        <v>1</v>
      </c>
      <c r="B80" s="578" t="s">
        <v>284</v>
      </c>
      <c r="C80" s="387">
        <v>0</v>
      </c>
      <c r="D80" s="387" t="s">
        <v>45</v>
      </c>
      <c r="E80" s="387"/>
      <c r="F80" s="387">
        <v>-130264.42</v>
      </c>
      <c r="G80" s="387" t="s">
        <v>45</v>
      </c>
      <c r="H80" s="387"/>
      <c r="I80" s="387" t="s">
        <v>45</v>
      </c>
      <c r="J80" s="514" t="s">
        <v>45</v>
      </c>
      <c r="K80" s="133"/>
    </row>
    <row r="81" spans="1:13" x14ac:dyDescent="0.3">
      <c r="A81" s="575" t="s">
        <v>1</v>
      </c>
      <c r="B81" s="578" t="s">
        <v>285</v>
      </c>
      <c r="C81" s="387">
        <v>0</v>
      </c>
      <c r="D81" s="387" t="s">
        <v>45</v>
      </c>
      <c r="E81" s="387"/>
      <c r="F81" s="387">
        <v>-1333301.58</v>
      </c>
      <c r="G81" s="387" t="s">
        <v>45</v>
      </c>
      <c r="H81" s="387"/>
      <c r="I81" s="387" t="s">
        <v>45</v>
      </c>
      <c r="J81" s="514" t="s">
        <v>45</v>
      </c>
      <c r="K81" s="133"/>
    </row>
    <row r="82" spans="1:13" ht="14.4" thickBot="1" x14ac:dyDescent="0.35">
      <c r="A82" s="603" t="s">
        <v>1</v>
      </c>
      <c r="B82" s="604" t="s">
        <v>163</v>
      </c>
      <c r="C82" s="605">
        <v>0</v>
      </c>
      <c r="D82" s="605" t="s">
        <v>45</v>
      </c>
      <c r="E82" s="605"/>
      <c r="F82" s="605">
        <v>-1607295.7199999997</v>
      </c>
      <c r="G82" s="605" t="s">
        <v>45</v>
      </c>
      <c r="H82" s="605"/>
      <c r="I82" s="605" t="s">
        <v>45</v>
      </c>
      <c r="J82" s="1003" t="s">
        <v>45</v>
      </c>
      <c r="K82" s="133"/>
    </row>
    <row r="83" spans="1:13" s="321" customFormat="1" x14ac:dyDescent="0.3">
      <c r="A83" s="583"/>
      <c r="B83" s="583"/>
      <c r="C83" s="181"/>
      <c r="D83" s="322"/>
      <c r="E83" s="322"/>
      <c r="F83" s="181"/>
      <c r="G83" s="322"/>
      <c r="H83" s="322"/>
      <c r="I83" s="322"/>
      <c r="J83" s="322"/>
      <c r="K83" s="398"/>
      <c r="L83" s="399"/>
      <c r="M83" s="399"/>
    </row>
    <row r="84" spans="1:13" x14ac:dyDescent="0.3">
      <c r="A84" s="133"/>
      <c r="B84" s="715" t="s">
        <v>395</v>
      </c>
      <c r="C84" s="407">
        <f>C75</f>
        <v>82453</v>
      </c>
      <c r="D84" s="407" t="str">
        <f>D75</f>
        <v>0</v>
      </c>
      <c r="E84" s="407"/>
      <c r="F84" s="407">
        <f>F75</f>
        <v>957754.07000000007</v>
      </c>
      <c r="G84" s="407" t="str">
        <f>G75</f>
        <v>0</v>
      </c>
      <c r="H84" s="407"/>
      <c r="I84" s="407" t="str">
        <f>I75</f>
        <v>0</v>
      </c>
      <c r="J84" s="407" t="str">
        <f>J75</f>
        <v>0</v>
      </c>
    </row>
    <row r="85" spans="1:13" x14ac:dyDescent="0.3">
      <c r="A85" s="133"/>
      <c r="B85" s="715" t="s">
        <v>286</v>
      </c>
      <c r="C85" s="407">
        <f>C68</f>
        <v>0</v>
      </c>
      <c r="D85" s="407" t="str">
        <f>D68</f>
        <v>0</v>
      </c>
      <c r="E85" s="407"/>
      <c r="F85" s="407">
        <f>F68</f>
        <v>152582.71</v>
      </c>
      <c r="G85" s="407" t="str">
        <f>G68</f>
        <v>0</v>
      </c>
      <c r="H85" s="407"/>
      <c r="I85" s="407" t="str">
        <f>I68</f>
        <v>0</v>
      </c>
      <c r="J85" s="407" t="str">
        <f>J68</f>
        <v>0</v>
      </c>
    </row>
    <row r="86" spans="1:13" x14ac:dyDescent="0.3">
      <c r="A86" s="133"/>
      <c r="B86" s="715" t="s">
        <v>397</v>
      </c>
      <c r="C86" s="407" t="str">
        <f>C74</f>
        <v>0</v>
      </c>
      <c r="D86" s="407" t="str">
        <f>D74</f>
        <v>0</v>
      </c>
      <c r="E86" s="407"/>
      <c r="F86" s="407" t="str">
        <f>F74</f>
        <v>0</v>
      </c>
      <c r="G86" s="407" t="str">
        <f>G74</f>
        <v>0</v>
      </c>
      <c r="H86" s="407"/>
      <c r="I86" s="407" t="str">
        <f>I74</f>
        <v>0</v>
      </c>
      <c r="J86" s="407" t="str">
        <f>J74</f>
        <v>0</v>
      </c>
    </row>
    <row r="87" spans="1:13" x14ac:dyDescent="0.3">
      <c r="A87" s="133"/>
      <c r="B87" s="715" t="s">
        <v>280</v>
      </c>
      <c r="C87" s="407">
        <f>+C71</f>
        <v>0</v>
      </c>
      <c r="D87" s="407"/>
      <c r="E87" s="407"/>
      <c r="F87" s="407">
        <f>+F71</f>
        <v>11472.769999999997</v>
      </c>
      <c r="G87" s="407"/>
      <c r="H87" s="407"/>
      <c r="I87" s="407"/>
      <c r="J87" s="407"/>
    </row>
    <row r="88" spans="1:13" x14ac:dyDescent="0.3">
      <c r="A88" s="133"/>
      <c r="B88" s="715" t="s">
        <v>287</v>
      </c>
      <c r="C88" s="407">
        <f>C76+C82</f>
        <v>0</v>
      </c>
      <c r="D88" s="407">
        <f>D76+D82</f>
        <v>0</v>
      </c>
      <c r="E88" s="407"/>
      <c r="F88" s="407">
        <f>F76+F82</f>
        <v>-1607295.7199999997</v>
      </c>
      <c r="G88" s="407">
        <f>G76+G82</f>
        <v>0</v>
      </c>
      <c r="H88" s="407"/>
      <c r="I88" s="407">
        <f>I76+I82</f>
        <v>0</v>
      </c>
      <c r="J88" s="407">
        <f>J76+J82</f>
        <v>0</v>
      </c>
    </row>
    <row r="89" spans="1:13" x14ac:dyDescent="0.3">
      <c r="A89" s="133"/>
      <c r="B89" s="715" t="s">
        <v>284</v>
      </c>
      <c r="C89" s="407">
        <f>C80</f>
        <v>0</v>
      </c>
      <c r="D89" s="407" t="str">
        <f>D80</f>
        <v>0</v>
      </c>
      <c r="E89" s="407"/>
      <c r="F89" s="407">
        <f>F80</f>
        <v>-130264.42</v>
      </c>
      <c r="G89" s="407" t="str">
        <f>G80</f>
        <v>0</v>
      </c>
      <c r="H89" s="407"/>
      <c r="I89" s="407" t="str">
        <f>I80</f>
        <v>0</v>
      </c>
      <c r="J89" s="407" t="str">
        <f>J80</f>
        <v>0</v>
      </c>
    </row>
    <row r="90" spans="1:13" x14ac:dyDescent="0.3">
      <c r="A90" s="133"/>
      <c r="B90" s="715" t="s">
        <v>285</v>
      </c>
      <c r="C90" s="407">
        <f>C81</f>
        <v>0</v>
      </c>
      <c r="D90" s="407" t="str">
        <f>D81</f>
        <v>0</v>
      </c>
      <c r="E90" s="407"/>
      <c r="F90" s="407">
        <f>F81</f>
        <v>-1333301.58</v>
      </c>
      <c r="G90" s="407" t="str">
        <f>G81</f>
        <v>0</v>
      </c>
      <c r="H90" s="407"/>
      <c r="I90" s="407" t="str">
        <f>I81</f>
        <v>0</v>
      </c>
      <c r="J90" s="407" t="str">
        <f>J81</f>
        <v>0</v>
      </c>
    </row>
    <row r="91" spans="1:13" ht="14.4" thickBot="1" x14ac:dyDescent="0.35">
      <c r="A91" s="133"/>
      <c r="B91" s="715" t="s">
        <v>396</v>
      </c>
      <c r="C91" s="606">
        <f>+C84-C85-C86-C87</f>
        <v>82453</v>
      </c>
      <c r="D91" s="606">
        <f>+D84-D85-D86-D87</f>
        <v>0</v>
      </c>
      <c r="E91" s="606"/>
      <c r="F91" s="606">
        <f>+F84-F85-F86-F87</f>
        <v>793698.59000000008</v>
      </c>
      <c r="G91" s="606">
        <f>+G84-G85-G86-G87</f>
        <v>0</v>
      </c>
      <c r="H91" s="606"/>
      <c r="I91" s="606">
        <f>+I84-I85-I86-I87</f>
        <v>0</v>
      </c>
      <c r="J91" s="606">
        <f>+J84-J85-J86-J87</f>
        <v>0</v>
      </c>
    </row>
    <row r="92" spans="1:13" s="321" customFormat="1" x14ac:dyDescent="0.3">
      <c r="A92" s="583"/>
      <c r="B92" s="583"/>
      <c r="C92" s="181"/>
      <c r="D92" s="322"/>
      <c r="E92" s="322"/>
      <c r="F92" s="181"/>
      <c r="G92" s="322"/>
      <c r="H92" s="322"/>
      <c r="I92" s="322"/>
      <c r="J92" s="322"/>
      <c r="L92" s="399"/>
      <c r="M92" s="399"/>
    </row>
    <row r="93" spans="1:13" s="321" customFormat="1" x14ac:dyDescent="0.3">
      <c r="A93" s="583"/>
      <c r="B93" s="583"/>
      <c r="C93" s="181"/>
      <c r="D93" s="322"/>
      <c r="E93" s="322"/>
      <c r="F93" s="181"/>
      <c r="G93" s="322"/>
      <c r="H93" s="322"/>
      <c r="I93" s="322"/>
      <c r="J93" s="322"/>
      <c r="K93" s="398"/>
      <c r="L93" s="399"/>
      <c r="M93" s="399"/>
    </row>
    <row r="94" spans="1:13" s="321" customFormat="1" x14ac:dyDescent="0.3">
      <c r="A94" s="583"/>
      <c r="B94" s="583"/>
      <c r="C94" s="181"/>
      <c r="D94" s="322"/>
      <c r="E94" s="322"/>
      <c r="F94" s="181"/>
      <c r="G94" s="322"/>
      <c r="H94" s="322"/>
      <c r="I94" s="322"/>
      <c r="J94" s="322"/>
      <c r="K94" s="398"/>
      <c r="L94" s="399"/>
      <c r="M94" s="399"/>
    </row>
    <row r="95" spans="1:13" s="321" customFormat="1" ht="14.4" x14ac:dyDescent="0.3">
      <c r="A95" s="1233" t="s">
        <v>398</v>
      </c>
      <c r="B95" s="583"/>
      <c r="C95" s="181"/>
      <c r="D95" s="322"/>
      <c r="E95" s="322"/>
      <c r="F95" s="181"/>
      <c r="G95" s="322"/>
      <c r="H95" s="322"/>
      <c r="I95" s="322"/>
      <c r="J95" s="322"/>
      <c r="K95" s="398"/>
      <c r="L95" s="399"/>
      <c r="M95" s="399"/>
    </row>
    <row r="96" spans="1:13" s="321" customFormat="1" ht="14.4" thickBot="1" x14ac:dyDescent="0.35">
      <c r="A96" s="583"/>
      <c r="B96" s="583"/>
      <c r="C96" s="181"/>
      <c r="D96" s="322"/>
      <c r="E96" s="322"/>
      <c r="F96" s="181"/>
      <c r="G96" s="322"/>
      <c r="H96" s="322"/>
      <c r="I96" s="322"/>
      <c r="J96" s="322"/>
      <c r="K96" s="398"/>
      <c r="L96" s="399"/>
      <c r="M96" s="399"/>
    </row>
    <row r="97" spans="1:13" x14ac:dyDescent="0.3">
      <c r="A97" s="571"/>
      <c r="B97" s="572"/>
      <c r="C97" s="593"/>
      <c r="D97" s="594" t="s">
        <v>72</v>
      </c>
      <c r="E97" s="594"/>
      <c r="F97" s="594"/>
      <c r="G97" s="593"/>
      <c r="H97" s="593"/>
      <c r="I97" s="593"/>
      <c r="J97" s="595"/>
    </row>
    <row r="98" spans="1:13" x14ac:dyDescent="0.3">
      <c r="A98" s="573"/>
      <c r="B98" s="574"/>
      <c r="C98" s="387" t="s">
        <v>501</v>
      </c>
      <c r="D98" s="387" t="s">
        <v>501</v>
      </c>
      <c r="E98" s="388"/>
      <c r="F98" s="387" t="s">
        <v>501</v>
      </c>
      <c r="G98" s="387" t="s">
        <v>501</v>
      </c>
      <c r="H98" s="388"/>
      <c r="I98" s="387" t="s">
        <v>501</v>
      </c>
      <c r="J98" s="514" t="s">
        <v>501</v>
      </c>
    </row>
    <row r="99" spans="1:13" x14ac:dyDescent="0.3">
      <c r="A99" s="573"/>
      <c r="B99" s="574"/>
      <c r="C99" s="387" t="s">
        <v>239</v>
      </c>
      <c r="D99" s="387" t="s">
        <v>239</v>
      </c>
      <c r="E99" s="388"/>
      <c r="F99" s="387" t="s">
        <v>544</v>
      </c>
      <c r="G99" s="387" t="s">
        <v>544</v>
      </c>
      <c r="H99" s="388"/>
      <c r="I99" s="387" t="s">
        <v>116</v>
      </c>
      <c r="J99" s="514" t="s">
        <v>116</v>
      </c>
    </row>
    <row r="100" spans="1:13" x14ac:dyDescent="0.3">
      <c r="A100" s="573"/>
      <c r="B100" s="574"/>
      <c r="C100" s="596" t="s">
        <v>2</v>
      </c>
      <c r="D100" s="596" t="s">
        <v>3</v>
      </c>
      <c r="E100" s="596"/>
      <c r="F100" s="596" t="s">
        <v>2</v>
      </c>
      <c r="G100" s="596" t="s">
        <v>3</v>
      </c>
      <c r="H100" s="596"/>
      <c r="I100" s="596" t="s">
        <v>49</v>
      </c>
      <c r="J100" s="597" t="s">
        <v>3</v>
      </c>
      <c r="L100" s="397"/>
      <c r="M100" s="397"/>
    </row>
    <row r="101" spans="1:13" s="321" customFormat="1" x14ac:dyDescent="0.3">
      <c r="A101" s="575" t="s">
        <v>1</v>
      </c>
      <c r="B101" s="576" t="s">
        <v>302</v>
      </c>
      <c r="C101" s="387">
        <v>0</v>
      </c>
      <c r="D101" s="387" t="s">
        <v>45</v>
      </c>
      <c r="E101" s="387"/>
      <c r="F101" s="387">
        <v>-1315771.3800000001</v>
      </c>
      <c r="G101" s="387" t="s">
        <v>45</v>
      </c>
      <c r="H101" s="387"/>
      <c r="I101" s="387" t="s">
        <v>45</v>
      </c>
      <c r="J101" s="514" t="s">
        <v>45</v>
      </c>
      <c r="K101" s="398"/>
      <c r="L101" s="399"/>
      <c r="M101" s="399"/>
    </row>
    <row r="102" spans="1:13" s="321" customFormat="1" ht="14.4" thickBot="1" x14ac:dyDescent="0.35">
      <c r="A102" s="579" t="s">
        <v>121</v>
      </c>
      <c r="B102" s="598" t="s">
        <v>123</v>
      </c>
      <c r="C102" s="518">
        <v>1358.8000000000002</v>
      </c>
      <c r="D102" s="518" t="s">
        <v>45</v>
      </c>
      <c r="E102" s="519"/>
      <c r="F102" s="518">
        <v>75977.03</v>
      </c>
      <c r="G102" s="518" t="s">
        <v>45</v>
      </c>
      <c r="H102" s="519"/>
      <c r="I102" s="518" t="s">
        <v>45</v>
      </c>
      <c r="J102" s="1002" t="s">
        <v>45</v>
      </c>
      <c r="K102" s="398"/>
      <c r="L102" s="399"/>
      <c r="M102" s="399"/>
    </row>
    <row r="103" spans="1:13" s="321" customFormat="1" x14ac:dyDescent="0.3">
      <c r="A103" s="583"/>
      <c r="B103" s="583"/>
      <c r="C103" s="181"/>
      <c r="D103" s="322"/>
      <c r="E103" s="322"/>
      <c r="F103" s="181"/>
      <c r="G103" s="322"/>
      <c r="H103" s="322"/>
      <c r="I103" s="322"/>
      <c r="J103" s="322"/>
      <c r="K103" s="398"/>
      <c r="L103" s="399"/>
      <c r="M103" s="399"/>
    </row>
    <row r="104" spans="1:13" s="321" customFormat="1" x14ac:dyDescent="0.3">
      <c r="A104" s="583"/>
      <c r="B104" s="583"/>
      <c r="C104" s="181"/>
      <c r="D104" s="322"/>
      <c r="E104" s="322"/>
      <c r="F104" s="181"/>
      <c r="G104" s="322"/>
      <c r="H104" s="322"/>
      <c r="I104" s="322"/>
      <c r="J104" s="322"/>
      <c r="K104" s="398"/>
      <c r="L104" s="399"/>
      <c r="M104" s="399"/>
    </row>
    <row r="105" spans="1:13" s="321" customFormat="1" x14ac:dyDescent="0.3">
      <c r="A105" s="583"/>
      <c r="B105" s="583"/>
      <c r="C105" s="181"/>
      <c r="D105" s="181"/>
      <c r="E105" s="322"/>
      <c r="F105" s="181"/>
      <c r="G105" s="181"/>
      <c r="H105" s="322"/>
      <c r="I105" s="181"/>
      <c r="J105" s="181"/>
      <c r="K105" s="398"/>
      <c r="L105" s="399"/>
      <c r="M105" s="399"/>
    </row>
    <row r="106" spans="1:13" s="321" customFormat="1" ht="14.4" x14ac:dyDescent="0.3">
      <c r="A106" s="1233" t="s">
        <v>434</v>
      </c>
      <c r="B106" s="583"/>
      <c r="C106" s="181"/>
      <c r="D106" s="181"/>
      <c r="E106" s="322"/>
      <c r="F106" s="181"/>
      <c r="G106" s="181"/>
      <c r="H106" s="322"/>
      <c r="I106" s="181"/>
      <c r="J106" s="181"/>
      <c r="K106" s="398"/>
      <c r="L106" s="399"/>
      <c r="M106" s="399"/>
    </row>
    <row r="107" spans="1:13" s="321" customFormat="1" ht="14.4" thickBot="1" x14ac:dyDescent="0.35">
      <c r="A107" s="583"/>
      <c r="B107" s="583"/>
      <c r="C107" s="181"/>
      <c r="D107" s="181"/>
      <c r="E107" s="322"/>
      <c r="F107" s="181"/>
      <c r="G107" s="181"/>
      <c r="H107" s="322"/>
      <c r="I107" s="181"/>
      <c r="J107" s="181"/>
      <c r="K107" s="398"/>
      <c r="L107" s="399"/>
      <c r="M107" s="399"/>
    </row>
    <row r="108" spans="1:13" x14ac:dyDescent="0.3">
      <c r="A108" s="838"/>
      <c r="B108" s="839"/>
      <c r="C108" s="840"/>
      <c r="D108" s="841" t="s">
        <v>72</v>
      </c>
      <c r="E108" s="841"/>
      <c r="F108" s="841"/>
      <c r="G108" s="840"/>
      <c r="H108" s="840"/>
      <c r="I108" s="840"/>
      <c r="J108" s="842"/>
    </row>
    <row r="109" spans="1:13" x14ac:dyDescent="0.3">
      <c r="A109" s="843"/>
      <c r="B109" s="844"/>
      <c r="C109" s="433" t="s">
        <v>501</v>
      </c>
      <c r="D109" s="433" t="s">
        <v>501</v>
      </c>
      <c r="E109" s="432"/>
      <c r="F109" s="433" t="s">
        <v>501</v>
      </c>
      <c r="G109" s="433" t="s">
        <v>501</v>
      </c>
      <c r="H109" s="432"/>
      <c r="I109" s="433" t="s">
        <v>501</v>
      </c>
      <c r="J109" s="513" t="s">
        <v>501</v>
      </c>
    </row>
    <row r="110" spans="1:13" x14ac:dyDescent="0.3">
      <c r="A110" s="843"/>
      <c r="B110" s="844"/>
      <c r="C110" s="433" t="s">
        <v>239</v>
      </c>
      <c r="D110" s="433" t="s">
        <v>239</v>
      </c>
      <c r="E110" s="432"/>
      <c r="F110" s="433" t="s">
        <v>544</v>
      </c>
      <c r="G110" s="433" t="s">
        <v>544</v>
      </c>
      <c r="H110" s="432"/>
      <c r="I110" s="433" t="s">
        <v>116</v>
      </c>
      <c r="J110" s="513" t="s">
        <v>116</v>
      </c>
    </row>
    <row r="111" spans="1:13" x14ac:dyDescent="0.3">
      <c r="A111" s="843"/>
      <c r="B111" s="844"/>
      <c r="C111" s="845" t="s">
        <v>2</v>
      </c>
      <c r="D111" s="845" t="s">
        <v>3</v>
      </c>
      <c r="E111" s="845"/>
      <c r="F111" s="845" t="s">
        <v>2</v>
      </c>
      <c r="G111" s="845" t="s">
        <v>3</v>
      </c>
      <c r="H111" s="845"/>
      <c r="I111" s="845" t="s">
        <v>49</v>
      </c>
      <c r="J111" s="512" t="s">
        <v>3</v>
      </c>
    </row>
    <row r="112" spans="1:13" ht="14.4" thickBot="1" x14ac:dyDescent="0.35">
      <c r="A112" s="754" t="s">
        <v>1</v>
      </c>
      <c r="B112" s="846" t="s">
        <v>88</v>
      </c>
      <c r="C112" s="847">
        <v>0</v>
      </c>
      <c r="D112" s="848" t="s">
        <v>45</v>
      </c>
      <c r="E112" s="847"/>
      <c r="F112" s="847">
        <v>-12551321.65</v>
      </c>
      <c r="G112" s="848" t="s">
        <v>45</v>
      </c>
      <c r="H112" s="847"/>
      <c r="I112" s="848" t="s">
        <v>45</v>
      </c>
      <c r="J112" s="849" t="s">
        <v>45</v>
      </c>
      <c r="K112" s="1234" t="s">
        <v>435</v>
      </c>
    </row>
    <row r="115" spans="1:10" ht="15" thickBot="1" x14ac:dyDescent="0.35">
      <c r="A115" s="1235" t="s">
        <v>463</v>
      </c>
      <c r="B115" s="581"/>
      <c r="C115" s="393"/>
      <c r="D115" s="322"/>
      <c r="E115" s="322"/>
      <c r="F115" s="181"/>
      <c r="G115" s="322"/>
      <c r="H115" s="322"/>
      <c r="I115" s="181"/>
      <c r="J115" s="322"/>
    </row>
    <row r="116" spans="1:10" x14ac:dyDescent="0.3">
      <c r="A116" s="823"/>
      <c r="B116" s="832"/>
      <c r="C116" s="817"/>
      <c r="D116" s="818" t="s">
        <v>72</v>
      </c>
      <c r="E116" s="818"/>
      <c r="F116" s="818"/>
      <c r="G116" s="817"/>
      <c r="H116" s="817"/>
      <c r="I116" s="817"/>
      <c r="J116" s="819"/>
    </row>
    <row r="117" spans="1:10" x14ac:dyDescent="0.3">
      <c r="A117" s="824"/>
      <c r="B117" s="825"/>
      <c r="C117" s="626" t="s">
        <v>501</v>
      </c>
      <c r="D117" s="626" t="s">
        <v>501</v>
      </c>
      <c r="E117" s="625"/>
      <c r="F117" s="626" t="s">
        <v>501</v>
      </c>
      <c r="G117" s="626" t="s">
        <v>501</v>
      </c>
      <c r="H117" s="625"/>
      <c r="I117" s="626" t="s">
        <v>501</v>
      </c>
      <c r="J117" s="666" t="s">
        <v>501</v>
      </c>
    </row>
    <row r="118" spans="1:10" x14ac:dyDescent="0.3">
      <c r="A118" s="824"/>
      <c r="B118" s="825"/>
      <c r="C118" s="626" t="s">
        <v>239</v>
      </c>
      <c r="D118" s="626" t="s">
        <v>239</v>
      </c>
      <c r="E118" s="625"/>
      <c r="F118" s="626" t="s">
        <v>546</v>
      </c>
      <c r="G118" s="626" t="s">
        <v>546</v>
      </c>
      <c r="H118" s="625"/>
      <c r="I118" s="626" t="s">
        <v>457</v>
      </c>
      <c r="J118" s="666" t="s">
        <v>457</v>
      </c>
    </row>
    <row r="119" spans="1:10" x14ac:dyDescent="0.3">
      <c r="A119" s="824"/>
      <c r="B119" s="825"/>
      <c r="C119" s="634" t="s">
        <v>2</v>
      </c>
      <c r="D119" s="634" t="s">
        <v>17</v>
      </c>
      <c r="E119" s="634"/>
      <c r="F119" s="634" t="s">
        <v>47</v>
      </c>
      <c r="G119" s="634" t="s">
        <v>48</v>
      </c>
      <c r="H119" s="634"/>
      <c r="I119" s="634" t="s">
        <v>49</v>
      </c>
      <c r="J119" s="635" t="s">
        <v>17</v>
      </c>
    </row>
    <row r="120" spans="1:10" x14ac:dyDescent="0.3">
      <c r="A120" s="826"/>
      <c r="B120" s="494"/>
      <c r="C120" s="626"/>
      <c r="D120" s="626"/>
      <c r="E120" s="625"/>
      <c r="F120" s="626"/>
      <c r="G120" s="626"/>
      <c r="H120" s="625"/>
      <c r="I120" s="626"/>
      <c r="J120" s="666"/>
    </row>
    <row r="121" spans="1:10" x14ac:dyDescent="0.3">
      <c r="A121" s="826" t="s">
        <v>464</v>
      </c>
      <c r="B121" s="494" t="s">
        <v>76</v>
      </c>
      <c r="C121" s="626" t="s">
        <v>45</v>
      </c>
      <c r="D121" s="626" t="s">
        <v>45</v>
      </c>
      <c r="E121" s="625"/>
      <c r="F121" s="626" t="s">
        <v>45</v>
      </c>
      <c r="G121" s="626" t="s">
        <v>45</v>
      </c>
      <c r="H121" s="625"/>
      <c r="I121" s="626" t="s">
        <v>45</v>
      </c>
      <c r="J121" s="666" t="s">
        <v>45</v>
      </c>
    </row>
    <row r="122" spans="1:10" x14ac:dyDescent="0.3">
      <c r="A122" s="826"/>
      <c r="B122" s="494" t="s">
        <v>458</v>
      </c>
      <c r="C122" s="626" t="s">
        <v>45</v>
      </c>
      <c r="D122" s="626" t="s">
        <v>45</v>
      </c>
      <c r="E122" s="625"/>
      <c r="F122" s="626" t="s">
        <v>45</v>
      </c>
      <c r="G122" s="626" t="s">
        <v>45</v>
      </c>
      <c r="H122" s="625"/>
      <c r="I122" s="626" t="s">
        <v>45</v>
      </c>
      <c r="J122" s="666" t="s">
        <v>45</v>
      </c>
    </row>
    <row r="123" spans="1:10" x14ac:dyDescent="0.3">
      <c r="A123" s="826"/>
      <c r="B123" s="494" t="s">
        <v>130</v>
      </c>
      <c r="C123" s="626" t="s">
        <v>45</v>
      </c>
      <c r="D123" s="626" t="s">
        <v>45</v>
      </c>
      <c r="E123" s="625"/>
      <c r="F123" s="626" t="s">
        <v>45</v>
      </c>
      <c r="G123" s="626" t="s">
        <v>45</v>
      </c>
      <c r="H123" s="625"/>
      <c r="I123" s="626" t="s">
        <v>45</v>
      </c>
      <c r="J123" s="666" t="s">
        <v>45</v>
      </c>
    </row>
    <row r="124" spans="1:10" ht="14.4" thickBot="1" x14ac:dyDescent="0.35">
      <c r="A124" s="827"/>
      <c r="B124" s="828" t="s">
        <v>476</v>
      </c>
      <c r="C124" s="820" t="s">
        <v>45</v>
      </c>
      <c r="D124" s="820" t="s">
        <v>45</v>
      </c>
      <c r="E124" s="821"/>
      <c r="F124" s="820" t="s">
        <v>45</v>
      </c>
      <c r="G124" s="820" t="s">
        <v>45</v>
      </c>
      <c r="H124" s="821"/>
      <c r="I124" s="820" t="s">
        <v>45</v>
      </c>
      <c r="J124" s="822" t="s">
        <v>45</v>
      </c>
    </row>
    <row r="130" spans="6:7" x14ac:dyDescent="0.3">
      <c r="F130" s="1223">
        <v>3533240.96</v>
      </c>
      <c r="G130" s="1224">
        <v>-3533.2409600000001</v>
      </c>
    </row>
    <row r="131" spans="6:7" x14ac:dyDescent="0.3">
      <c r="F131" s="1223">
        <v>-3541296.7999999993</v>
      </c>
      <c r="G131" s="1224">
        <v>3541.2967999999992</v>
      </c>
    </row>
    <row r="132" spans="6:7" x14ac:dyDescent="0.3">
      <c r="F132" s="1223">
        <v>122173.87</v>
      </c>
      <c r="G132" s="1224">
        <v>-122.17386999999999</v>
      </c>
    </row>
    <row r="133" spans="6:7" x14ac:dyDescent="0.3">
      <c r="F133" s="1223">
        <f>SUM(F130:F132)</f>
        <v>114118.03000000061</v>
      </c>
    </row>
  </sheetData>
  <mergeCells count="4">
    <mergeCell ref="A43:B43"/>
    <mergeCell ref="A42:B42"/>
    <mergeCell ref="A45:B45"/>
    <mergeCell ref="A56:B56"/>
  </mergeCells>
  <phoneticPr fontId="31" type="noConversion"/>
  <pageMargins left="0" right="0" top="0.75" bottom="0.75" header="0.5" footer="0.5"/>
  <pageSetup scale="80" orientation="landscape" r:id="rId1"/>
  <headerFooter alignWithMargins="0">
    <oddFooter>&amp;L&amp;Z&amp;F
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0.39997558519241921"/>
    <pageSetUpPr fitToPage="1"/>
  </sheetPr>
  <dimension ref="A1:S84"/>
  <sheetViews>
    <sheetView zoomScale="80" zoomScaleNormal="80" workbookViewId="0">
      <selection activeCell="A4" sqref="A4"/>
    </sheetView>
  </sheetViews>
  <sheetFormatPr defaultColWidth="5.6640625" defaultRowHeight="13.2" x14ac:dyDescent="0.25"/>
  <cols>
    <col min="1" max="1" width="47.109375" style="12" bestFit="1" customWidth="1"/>
    <col min="2" max="2" width="12.6640625" style="20" customWidth="1"/>
    <col min="3" max="3" width="12.6640625" style="16" customWidth="1"/>
    <col min="4" max="4" width="12.6640625" style="20" customWidth="1"/>
    <col min="5" max="5" width="14.109375" style="772" customWidth="1"/>
    <col min="6" max="6" width="13.88671875" style="20" bestFit="1" customWidth="1"/>
    <col min="7" max="7" width="12.6640625" style="20" customWidth="1"/>
    <col min="8" max="10" width="12.6640625" style="20" hidden="1" customWidth="1"/>
    <col min="11" max="11" width="12.6640625" style="12" customWidth="1"/>
    <col min="12" max="13" width="14.5546875" style="76" bestFit="1" customWidth="1"/>
    <col min="14" max="14" width="18.33203125" style="12" bestFit="1" customWidth="1"/>
    <col min="15" max="16" width="16.109375" style="12" customWidth="1"/>
    <col min="17" max="17" width="5.6640625" style="12"/>
    <col min="18" max="18" width="13.88671875" style="12" bestFit="1" customWidth="1"/>
    <col min="19" max="19" width="6.88671875" style="12" bestFit="1" customWidth="1"/>
    <col min="20" max="16384" width="5.6640625" style="12"/>
  </cols>
  <sheetData>
    <row r="1" spans="1:19" ht="20.399999999999999" x14ac:dyDescent="0.35">
      <c r="A1" s="1243" t="s">
        <v>83</v>
      </c>
      <c r="B1" s="1243"/>
      <c r="C1" s="1243"/>
      <c r="D1" s="1243"/>
      <c r="E1" s="1243"/>
      <c r="F1" s="1243"/>
      <c r="G1" s="1243"/>
      <c r="H1" s="1095"/>
      <c r="I1" s="1095"/>
      <c r="J1" s="1095"/>
    </row>
    <row r="2" spans="1:19" ht="20.399999999999999" x14ac:dyDescent="0.35">
      <c r="A2" s="1243" t="s">
        <v>103</v>
      </c>
      <c r="B2" s="1243"/>
      <c r="C2" s="1243"/>
      <c r="D2" s="1243"/>
      <c r="E2" s="1243"/>
      <c r="F2" s="1243"/>
      <c r="G2" s="1243"/>
      <c r="H2" s="1095"/>
      <c r="I2" s="1095"/>
      <c r="J2" s="1095"/>
    </row>
    <row r="3" spans="1:19" ht="20.399999999999999" x14ac:dyDescent="0.35">
      <c r="A3" s="1243" t="s">
        <v>547</v>
      </c>
      <c r="B3" s="1243"/>
      <c r="C3" s="1243"/>
      <c r="D3" s="1243"/>
      <c r="E3" s="1243"/>
      <c r="F3" s="1243"/>
      <c r="G3" s="1243"/>
      <c r="H3" s="1095"/>
      <c r="I3" s="1095"/>
      <c r="J3" s="1095"/>
    </row>
    <row r="4" spans="1:19" ht="13.95" customHeight="1" x14ac:dyDescent="0.35">
      <c r="A4" s="4"/>
      <c r="B4" s="17"/>
      <c r="C4" s="14"/>
      <c r="D4" s="17"/>
      <c r="E4" s="1116"/>
      <c r="F4" s="17"/>
      <c r="G4" s="17"/>
      <c r="H4" s="17"/>
      <c r="I4" s="17"/>
      <c r="J4" s="17"/>
    </row>
    <row r="5" spans="1:19" ht="13.95" customHeight="1" x14ac:dyDescent="0.35">
      <c r="A5" s="4"/>
      <c r="B5" s="17"/>
      <c r="C5" s="17"/>
      <c r="D5" s="17"/>
      <c r="E5" s="1116"/>
      <c r="F5" s="17"/>
      <c r="G5" s="17"/>
      <c r="H5" s="17"/>
      <c r="I5" s="17"/>
      <c r="J5" s="17"/>
    </row>
    <row r="6" spans="1:19" ht="13.95" customHeight="1" thickBot="1" x14ac:dyDescent="0.3">
      <c r="A6" s="13"/>
      <c r="B6" s="18"/>
      <c r="C6" s="18"/>
      <c r="D6" s="18"/>
      <c r="E6" s="1117"/>
      <c r="F6" s="18"/>
      <c r="G6" s="18"/>
      <c r="H6" s="18"/>
      <c r="I6" s="18"/>
      <c r="J6" s="18"/>
    </row>
    <row r="7" spans="1:19" ht="18" thickBot="1" x14ac:dyDescent="0.35">
      <c r="A7" s="60"/>
      <c r="B7" s="1240" t="s">
        <v>40</v>
      </c>
      <c r="C7" s="1241"/>
      <c r="D7" s="1242"/>
      <c r="E7" s="1240" t="s">
        <v>275</v>
      </c>
      <c r="F7" s="1241"/>
      <c r="G7" s="1242"/>
      <c r="H7" s="1240" t="s">
        <v>30</v>
      </c>
      <c r="I7" s="1241"/>
      <c r="J7" s="1242"/>
    </row>
    <row r="8" spans="1:19" ht="24" customHeight="1" x14ac:dyDescent="0.25">
      <c r="A8" s="187" t="s">
        <v>52</v>
      </c>
      <c r="B8" s="359" t="s">
        <v>2</v>
      </c>
      <c r="C8" s="469" t="s">
        <v>17</v>
      </c>
      <c r="D8" s="360" t="s">
        <v>71</v>
      </c>
      <c r="E8" s="1118" t="s">
        <v>2</v>
      </c>
      <c r="F8" s="644" t="s">
        <v>17</v>
      </c>
      <c r="G8" s="360" t="s">
        <v>71</v>
      </c>
      <c r="H8" s="359" t="s">
        <v>2</v>
      </c>
      <c r="I8" s="644" t="s">
        <v>49</v>
      </c>
      <c r="J8" s="360" t="s">
        <v>71</v>
      </c>
      <c r="L8" s="992"/>
      <c r="M8" s="992"/>
      <c r="N8" s="88"/>
      <c r="O8" s="88"/>
      <c r="P8" s="88"/>
      <c r="Q8" s="88"/>
      <c r="R8" s="88"/>
    </row>
    <row r="9" spans="1:19" ht="15.6" x14ac:dyDescent="0.3">
      <c r="A9" s="61"/>
      <c r="B9" s="188"/>
      <c r="C9" s="963"/>
      <c r="D9" s="964"/>
      <c r="E9" s="1119"/>
      <c r="F9" s="965"/>
      <c r="G9" s="964"/>
      <c r="H9" s="189"/>
      <c r="I9" s="965"/>
      <c r="J9" s="964"/>
      <c r="L9" s="992"/>
      <c r="M9" s="993"/>
      <c r="N9" s="88"/>
      <c r="O9" s="88"/>
      <c r="P9" s="88"/>
      <c r="Q9" s="88"/>
      <c r="R9" s="88"/>
    </row>
    <row r="10" spans="1:19" ht="13.8" x14ac:dyDescent="0.25">
      <c r="A10" s="190" t="s">
        <v>41</v>
      </c>
      <c r="B10" s="63"/>
      <c r="C10" s="470"/>
      <c r="D10" s="64"/>
      <c r="E10" s="1120"/>
      <c r="F10" s="481"/>
      <c r="G10" s="64"/>
      <c r="H10" s="84"/>
      <c r="I10" s="481"/>
      <c r="J10" s="64"/>
      <c r="L10" s="992"/>
      <c r="M10" s="992"/>
      <c r="N10" s="88"/>
      <c r="O10" s="88"/>
      <c r="P10" s="88"/>
      <c r="Q10" s="88"/>
      <c r="R10" s="88"/>
    </row>
    <row r="11" spans="1:19" x14ac:dyDescent="0.25">
      <c r="A11" s="192" t="s">
        <v>85</v>
      </c>
      <c r="B11" s="24">
        <f>-essincome!C8/1000-essincome!C9/1000</f>
        <v>0</v>
      </c>
      <c r="C11" s="107">
        <f>-essincome!D8/1000</f>
        <v>0</v>
      </c>
      <c r="D11" s="26">
        <f>B11-C11</f>
        <v>0</v>
      </c>
      <c r="E11" s="24">
        <f>-essincome!F8/1000-essincome!F9/1000</f>
        <v>72378.678280000007</v>
      </c>
      <c r="F11" s="107">
        <f>-essincome!G8/1000-essincome!G9/1000</f>
        <v>0</v>
      </c>
      <c r="G11" s="26">
        <f>E11-F11</f>
        <v>72378.678280000007</v>
      </c>
      <c r="H11" s="24">
        <f>-essincome!F8/1000-essincome!F9/1000</f>
        <v>72378.678280000007</v>
      </c>
      <c r="I11" s="107">
        <f>-essincome!I8/1000</f>
        <v>0</v>
      </c>
      <c r="J11" s="26">
        <f>H11-I11</f>
        <v>72378.678280000007</v>
      </c>
      <c r="K11" s="50"/>
      <c r="L11" s="1222"/>
      <c r="M11" s="992"/>
      <c r="N11" s="1222"/>
      <c r="O11" s="1222"/>
      <c r="P11" s="1222"/>
      <c r="Q11" s="88"/>
      <c r="R11" s="994"/>
    </row>
    <row r="12" spans="1:19" x14ac:dyDescent="0.25">
      <c r="A12" s="192" t="s">
        <v>97</v>
      </c>
      <c r="B12" s="24">
        <f>-essincome!C10/1000</f>
        <v>0</v>
      </c>
      <c r="C12" s="107">
        <f>-essincome!D10/1000</f>
        <v>0</v>
      </c>
      <c r="D12" s="26">
        <f>B12-C12</f>
        <v>0</v>
      </c>
      <c r="E12" s="24">
        <f>-essincome!F10/1000</f>
        <v>0</v>
      </c>
      <c r="F12" s="107">
        <f>-essincome!G10/1000</f>
        <v>0</v>
      </c>
      <c r="G12" s="26">
        <f>E12-F12</f>
        <v>0</v>
      </c>
      <c r="H12" s="24">
        <f>-essincome!F10/1000</f>
        <v>0</v>
      </c>
      <c r="I12" s="107">
        <f>-essincome!I10/1000</f>
        <v>0</v>
      </c>
      <c r="J12" s="26">
        <f>H12-I12</f>
        <v>0</v>
      </c>
      <c r="K12" s="50"/>
      <c r="L12" s="1222"/>
      <c r="M12" s="992"/>
      <c r="N12" s="1222"/>
      <c r="O12" s="1222"/>
      <c r="P12" s="1222"/>
      <c r="Q12" s="88"/>
      <c r="R12" s="994"/>
    </row>
    <row r="13" spans="1:19" ht="15" x14ac:dyDescent="0.4">
      <c r="A13" s="967" t="s">
        <v>104</v>
      </c>
      <c r="B13" s="90">
        <f>-essincome!C11/1000</f>
        <v>0</v>
      </c>
      <c r="C13" s="97">
        <f>-essincome!D11/1000</f>
        <v>0</v>
      </c>
      <c r="D13" s="93">
        <f>B13-C13</f>
        <v>0</v>
      </c>
      <c r="E13" s="90">
        <f>-essincome!F11/1000</f>
        <v>1154.36725</v>
      </c>
      <c r="F13" s="97">
        <f>-essincome!G11/1000</f>
        <v>0</v>
      </c>
      <c r="G13" s="93">
        <f>E13-F13</f>
        <v>1154.36725</v>
      </c>
      <c r="H13" s="466">
        <f>-essincome!F11/1000</f>
        <v>1154.36725</v>
      </c>
      <c r="I13" s="471">
        <f>-essincome!I11/1000</f>
        <v>0</v>
      </c>
      <c r="J13" s="47">
        <f>H13-I13</f>
        <v>1154.36725</v>
      </c>
      <c r="K13" s="50"/>
      <c r="L13" s="1222"/>
      <c r="M13" s="992"/>
      <c r="N13" s="1222"/>
      <c r="O13" s="1222"/>
      <c r="P13" s="1222"/>
      <c r="Q13" s="88"/>
      <c r="R13" s="994"/>
    </row>
    <row r="14" spans="1:19" ht="15" x14ac:dyDescent="0.4">
      <c r="A14" s="192" t="s">
        <v>479</v>
      </c>
      <c r="B14" s="466">
        <f>(-essincome!C78-essincome!C79-essincome!C80)/1000</f>
        <v>0</v>
      </c>
      <c r="C14" s="471">
        <v>0</v>
      </c>
      <c r="D14" s="47">
        <f>B14-C14</f>
        <v>0</v>
      </c>
      <c r="E14" s="466">
        <f>(-essincome!F78-essincome!F79-essincome!F80)/1000</f>
        <v>273.99414000000002</v>
      </c>
      <c r="F14" s="471">
        <v>0</v>
      </c>
      <c r="G14" s="47">
        <f>E14-F14</f>
        <v>273.99414000000002</v>
      </c>
      <c r="H14" s="466"/>
      <c r="I14" s="471"/>
      <c r="J14" s="47"/>
      <c r="K14" s="50"/>
      <c r="L14" s="1222"/>
      <c r="M14" s="1222"/>
      <c r="N14" s="1222"/>
      <c r="O14" s="1222"/>
      <c r="P14" s="1222"/>
      <c r="Q14" s="88"/>
      <c r="R14" s="994"/>
    </row>
    <row r="15" spans="1:19" ht="13.8" x14ac:dyDescent="0.25">
      <c r="A15" s="191" t="s">
        <v>42</v>
      </c>
      <c r="B15" s="28">
        <f>SUM(B11:B14)</f>
        <v>0</v>
      </c>
      <c r="C15" s="472">
        <f t="shared" ref="C15:J15" si="0">SUM(C11:C13)</f>
        <v>0</v>
      </c>
      <c r="D15" s="29">
        <f t="shared" si="0"/>
        <v>0</v>
      </c>
      <c r="E15" s="28">
        <f>SUM(E11:E14)</f>
        <v>73807.039669999998</v>
      </c>
      <c r="F15" s="472">
        <f t="shared" si="0"/>
        <v>0</v>
      </c>
      <c r="G15" s="29">
        <f t="shared" si="0"/>
        <v>73533.045530000003</v>
      </c>
      <c r="H15" s="28">
        <f t="shared" si="0"/>
        <v>73533.045530000003</v>
      </c>
      <c r="I15" s="472">
        <f t="shared" si="0"/>
        <v>0</v>
      </c>
      <c r="J15" s="29">
        <f t="shared" si="0"/>
        <v>73533.045530000003</v>
      </c>
      <c r="K15" s="50"/>
      <c r="L15" s="1222"/>
      <c r="M15" s="992"/>
      <c r="N15" s="1222"/>
      <c r="O15" s="1222"/>
      <c r="P15" s="1222"/>
      <c r="Q15" s="88"/>
      <c r="R15" s="994"/>
      <c r="S15" s="50"/>
    </row>
    <row r="16" spans="1:19" x14ac:dyDescent="0.25">
      <c r="A16" s="500"/>
      <c r="B16" s="165"/>
      <c r="C16" s="473"/>
      <c r="D16" s="66"/>
      <c r="E16" s="65"/>
      <c r="F16" s="482"/>
      <c r="G16" s="66"/>
      <c r="H16" s="24"/>
      <c r="I16" s="482"/>
      <c r="J16" s="66"/>
      <c r="K16" s="962"/>
      <c r="L16" s="1222"/>
      <c r="M16" s="992"/>
      <c r="N16" s="88"/>
      <c r="O16" s="88"/>
      <c r="P16" s="88"/>
      <c r="Q16" s="88"/>
      <c r="R16" s="88"/>
    </row>
    <row r="17" spans="1:18" ht="13.8" x14ac:dyDescent="0.25">
      <c r="A17" s="191" t="s">
        <v>43</v>
      </c>
      <c r="B17" s="166"/>
      <c r="C17" s="474"/>
      <c r="D17" s="41"/>
      <c r="E17" s="90"/>
      <c r="F17" s="483"/>
      <c r="G17" s="41"/>
      <c r="H17" s="24"/>
      <c r="I17" s="483"/>
      <c r="J17" s="41"/>
      <c r="K17" s="962"/>
      <c r="L17" s="1222"/>
      <c r="M17" s="992"/>
      <c r="N17" s="88"/>
      <c r="O17" s="88"/>
      <c r="P17" s="88"/>
      <c r="Q17" s="88"/>
      <c r="R17" s="88"/>
    </row>
    <row r="18" spans="1:18" x14ac:dyDescent="0.25">
      <c r="A18" s="192" t="s">
        <v>128</v>
      </c>
      <c r="B18" s="24">
        <f>essincome!C45/1000</f>
        <v>4580.2492900000016</v>
      </c>
      <c r="C18" s="107">
        <f>essincome!D45/1000</f>
        <v>0</v>
      </c>
      <c r="D18" s="26">
        <f>C18-B18</f>
        <v>-4580.2492900000016</v>
      </c>
      <c r="E18" s="24">
        <f>essincome!F45/1000</f>
        <v>67702.74745000001</v>
      </c>
      <c r="F18" s="107">
        <f>essincome!G45/1000</f>
        <v>0</v>
      </c>
      <c r="G18" s="26">
        <f>F18-E18</f>
        <v>-67702.74745000001</v>
      </c>
      <c r="H18" s="24">
        <f>essincome!F45/1000+E33+essincome!F39/1000+H34</f>
        <v>66354.10805000001</v>
      </c>
      <c r="I18" s="107">
        <f>essincome!I45/1000</f>
        <v>0</v>
      </c>
      <c r="J18" s="26">
        <f>I18-H18</f>
        <v>-66354.10805000001</v>
      </c>
      <c r="K18" s="50"/>
      <c r="L18" s="1222"/>
      <c r="M18" s="992"/>
      <c r="N18" s="1222"/>
      <c r="O18" s="1222"/>
      <c r="P18" s="1222"/>
      <c r="Q18" s="88"/>
      <c r="R18" s="994"/>
    </row>
    <row r="19" spans="1:18" x14ac:dyDescent="0.25">
      <c r="A19" s="192" t="s">
        <v>129</v>
      </c>
      <c r="B19" s="24">
        <f>+essincome!C43/1000</f>
        <v>427.18218999999993</v>
      </c>
      <c r="C19" s="107">
        <f>pension!E28/1000</f>
        <v>0</v>
      </c>
      <c r="D19" s="26">
        <f>C19-B19</f>
        <v>-427.18218999999993</v>
      </c>
      <c r="E19" s="24">
        <f>+essincome!F43/1000</f>
        <v>3602.0754500000003</v>
      </c>
      <c r="F19" s="107">
        <f>pension!H28/1000</f>
        <v>0</v>
      </c>
      <c r="G19" s="26">
        <f>F19-E19</f>
        <v>-3602.0754500000003</v>
      </c>
      <c r="H19" s="24">
        <f>(pension!G28/1000-essincome!F39/1000)</f>
        <v>3545.8583099999996</v>
      </c>
      <c r="I19" s="107">
        <f>pension!J28/1000</f>
        <v>0</v>
      </c>
      <c r="J19" s="26">
        <f>I19-H19</f>
        <v>-3545.8583099999996</v>
      </c>
      <c r="K19" s="50"/>
      <c r="L19" s="1222"/>
      <c r="M19" s="992"/>
      <c r="N19" s="1222"/>
      <c r="O19" s="1222"/>
      <c r="P19" s="1222"/>
      <c r="Q19" s="88"/>
      <c r="R19" s="994"/>
    </row>
    <row r="20" spans="1:18" x14ac:dyDescent="0.25">
      <c r="A20" s="192" t="s">
        <v>59</v>
      </c>
      <c r="B20" s="24">
        <f>essincome!C56/1000</f>
        <v>0</v>
      </c>
      <c r="C20" s="107">
        <f>essincome!D56/1000</f>
        <v>0</v>
      </c>
      <c r="D20" s="26">
        <f>C20-B20</f>
        <v>0</v>
      </c>
      <c r="E20" s="24">
        <f>essincome!F56/1000</f>
        <v>7589.3936999999996</v>
      </c>
      <c r="F20" s="107">
        <f>essincome!G56/1000</f>
        <v>0</v>
      </c>
      <c r="G20" s="26">
        <f>F20-E20</f>
        <v>-7589.3936999999996</v>
      </c>
      <c r="H20" s="24">
        <f>essincome!F56/1000</f>
        <v>7589.3936999999996</v>
      </c>
      <c r="I20" s="107">
        <f>essincome!I56/1000</f>
        <v>0</v>
      </c>
      <c r="J20" s="26">
        <f>I20-H20</f>
        <v>-7589.3936999999996</v>
      </c>
      <c r="K20" s="50"/>
      <c r="L20" s="1222"/>
      <c r="M20" s="992"/>
      <c r="N20" s="1222"/>
      <c r="O20" s="1222"/>
      <c r="P20" s="1222"/>
      <c r="Q20" s="88"/>
      <c r="R20" s="994"/>
    </row>
    <row r="21" spans="1:18" ht="15" x14ac:dyDescent="0.4">
      <c r="A21" s="192" t="s">
        <v>44</v>
      </c>
      <c r="B21" s="466">
        <f>essincome!C91/1000</f>
        <v>82.453000000000003</v>
      </c>
      <c r="C21" s="471">
        <f>essincome!D91/1000-C14</f>
        <v>0</v>
      </c>
      <c r="D21" s="47">
        <f>C21-B21</f>
        <v>-82.453000000000003</v>
      </c>
      <c r="E21" s="466">
        <f>essincome!F91/1000</f>
        <v>793.69859000000008</v>
      </c>
      <c r="F21" s="471">
        <f>essincome!G91/1000-F14</f>
        <v>0</v>
      </c>
      <c r="G21" s="47">
        <f>F21-E21</f>
        <v>-793.69859000000008</v>
      </c>
      <c r="H21" s="466">
        <f>essincome!F91/1000</f>
        <v>793.69859000000008</v>
      </c>
      <c r="I21" s="471">
        <f>essincome!I91/1000</f>
        <v>0</v>
      </c>
      <c r="J21" s="47">
        <f>I21-H21</f>
        <v>-793.69859000000008</v>
      </c>
      <c r="K21" s="50"/>
      <c r="L21" s="1222"/>
      <c r="M21" s="1222"/>
      <c r="N21" s="1222"/>
      <c r="O21" s="1222"/>
      <c r="P21" s="1222"/>
      <c r="Q21" s="88"/>
      <c r="R21" s="994"/>
    </row>
    <row r="22" spans="1:18" ht="13.8" x14ac:dyDescent="0.25">
      <c r="A22" s="191" t="s">
        <v>62</v>
      </c>
      <c r="B22" s="467">
        <f t="shared" ref="B22:J22" si="1">SUM(B18:B21)</f>
        <v>5089.8844800000015</v>
      </c>
      <c r="C22" s="475">
        <f t="shared" si="1"/>
        <v>0</v>
      </c>
      <c r="D22" s="468">
        <f t="shared" si="1"/>
        <v>-5089.8844800000015</v>
      </c>
      <c r="E22" s="467">
        <f t="shared" si="1"/>
        <v>79687.915190000014</v>
      </c>
      <c r="F22" s="475">
        <f t="shared" si="1"/>
        <v>0</v>
      </c>
      <c r="G22" s="468">
        <f t="shared" si="1"/>
        <v>-79687.915190000014</v>
      </c>
      <c r="H22" s="467">
        <f t="shared" si="1"/>
        <v>78283.058650000006</v>
      </c>
      <c r="I22" s="475">
        <f t="shared" si="1"/>
        <v>0</v>
      </c>
      <c r="J22" s="468">
        <f t="shared" si="1"/>
        <v>-78283.058650000006</v>
      </c>
      <c r="K22" s="50"/>
      <c r="L22" s="992"/>
      <c r="M22" s="992"/>
      <c r="N22" s="1222"/>
      <c r="O22" s="1222"/>
      <c r="P22" s="1222"/>
      <c r="Q22" s="88"/>
      <c r="R22" s="994"/>
    </row>
    <row r="23" spans="1:18" ht="13.2" customHeight="1" x14ac:dyDescent="0.25">
      <c r="A23" s="499"/>
      <c r="B23" s="24"/>
      <c r="C23" s="476"/>
      <c r="D23" s="26"/>
      <c r="E23" s="90"/>
      <c r="F23" s="107"/>
      <c r="G23" s="26"/>
      <c r="H23" s="24"/>
      <c r="I23" s="107"/>
      <c r="J23" s="26"/>
      <c r="K23" s="962"/>
      <c r="L23" s="992"/>
      <c r="M23" s="1222"/>
      <c r="N23" s="1222"/>
      <c r="O23" s="88"/>
      <c r="P23" s="88"/>
      <c r="Q23" s="88"/>
      <c r="R23" s="88"/>
    </row>
    <row r="24" spans="1:18" ht="13.8" x14ac:dyDescent="0.25">
      <c r="A24" s="191" t="s">
        <v>115</v>
      </c>
      <c r="B24" s="79">
        <f>B15-B22</f>
        <v>-5089.8844800000015</v>
      </c>
      <c r="C24" s="477">
        <f>C15-C22</f>
        <v>0</v>
      </c>
      <c r="D24" s="80">
        <f>B24-C24</f>
        <v>-5089.8844800000015</v>
      </c>
      <c r="E24" s="79">
        <f>E15-E22</f>
        <v>-5880.875520000016</v>
      </c>
      <c r="F24" s="477">
        <f>F15-F22</f>
        <v>0</v>
      </c>
      <c r="G24" s="80">
        <f>E24-F24</f>
        <v>-5880.875520000016</v>
      </c>
      <c r="H24" s="79">
        <f>H15-H22</f>
        <v>-4750.0131200000033</v>
      </c>
      <c r="I24" s="477">
        <f>I15-I22</f>
        <v>0</v>
      </c>
      <c r="J24" s="80">
        <f>H24-I24</f>
        <v>-4750.0131200000033</v>
      </c>
      <c r="K24" s="50"/>
      <c r="L24" s="992"/>
      <c r="M24" s="992"/>
      <c r="N24" s="1222"/>
      <c r="O24" s="1222"/>
      <c r="P24" s="1226"/>
      <c r="Q24" s="88"/>
      <c r="R24" s="994"/>
    </row>
    <row r="25" spans="1:18" ht="13.2" customHeight="1" x14ac:dyDescent="0.25">
      <c r="A25" s="813"/>
      <c r="B25" s="24"/>
      <c r="C25" s="107"/>
      <c r="D25" s="26"/>
      <c r="E25" s="90"/>
      <c r="F25" s="107"/>
      <c r="G25" s="26"/>
      <c r="H25" s="24"/>
      <c r="I25" s="107"/>
      <c r="J25" s="26"/>
      <c r="K25" s="50"/>
      <c r="L25" s="992"/>
      <c r="M25" s="992"/>
      <c r="N25" s="88"/>
      <c r="O25" s="88"/>
      <c r="P25" s="88"/>
      <c r="Q25" s="88"/>
      <c r="R25" s="88"/>
    </row>
    <row r="26" spans="1:18" ht="13.2" customHeight="1" x14ac:dyDescent="0.25">
      <c r="A26" s="813"/>
      <c r="B26" s="24"/>
      <c r="C26" s="107"/>
      <c r="D26" s="26"/>
      <c r="E26" s="90"/>
      <c r="F26" s="107"/>
      <c r="G26" s="26"/>
      <c r="H26" s="24"/>
      <c r="I26" s="107"/>
      <c r="J26" s="26"/>
      <c r="K26" s="50"/>
      <c r="L26" s="992"/>
      <c r="M26" s="992"/>
      <c r="N26" s="88"/>
      <c r="O26" s="88"/>
      <c r="P26" s="88"/>
      <c r="Q26" s="88"/>
      <c r="R26" s="88"/>
    </row>
    <row r="27" spans="1:18" ht="13.2" customHeight="1" x14ac:dyDescent="0.25">
      <c r="A27" s="192" t="s">
        <v>454</v>
      </c>
      <c r="B27" s="90">
        <v>0</v>
      </c>
      <c r="C27" s="97">
        <v>0</v>
      </c>
      <c r="D27" s="93">
        <f>B27-C27</f>
        <v>0</v>
      </c>
      <c r="E27" s="90">
        <v>0</v>
      </c>
      <c r="F27" s="97">
        <v>0</v>
      </c>
      <c r="G27" s="93">
        <f>E27-F27</f>
        <v>0</v>
      </c>
      <c r="H27" s="24">
        <f>+essbal!G27/1000</f>
        <v>0</v>
      </c>
      <c r="I27" s="97">
        <v>0</v>
      </c>
      <c r="J27" s="93">
        <f>I27-H27</f>
        <v>0</v>
      </c>
      <c r="K27" s="50"/>
      <c r="L27" s="992"/>
      <c r="M27" s="992"/>
      <c r="N27" s="88"/>
      <c r="O27" s="88"/>
      <c r="P27" s="88"/>
      <c r="Q27" s="88"/>
      <c r="R27" s="88"/>
    </row>
    <row r="28" spans="1:18" ht="12.75" customHeight="1" x14ac:dyDescent="0.25">
      <c r="A28" s="813"/>
      <c r="B28" s="24"/>
      <c r="C28" s="107"/>
      <c r="D28" s="26"/>
      <c r="E28" s="90"/>
      <c r="F28" s="107"/>
      <c r="G28" s="26"/>
      <c r="H28" s="24"/>
      <c r="I28" s="107"/>
      <c r="J28" s="26"/>
      <c r="K28" s="50"/>
      <c r="L28" s="992"/>
      <c r="M28" s="992"/>
      <c r="N28" s="1222"/>
      <c r="O28" s="88"/>
      <c r="P28" s="88"/>
      <c r="Q28" s="88"/>
      <c r="R28" s="88"/>
    </row>
    <row r="29" spans="1:18" ht="14.4" thickBot="1" x14ac:dyDescent="0.3">
      <c r="A29" s="966" t="s">
        <v>440</v>
      </c>
      <c r="B29" s="814">
        <f t="shared" ref="B29:J29" si="2">SUM(B24:B27)</f>
        <v>-5089.8844800000015</v>
      </c>
      <c r="C29" s="816">
        <f t="shared" si="2"/>
        <v>0</v>
      </c>
      <c r="D29" s="815">
        <f t="shared" si="2"/>
        <v>-5089.8844800000015</v>
      </c>
      <c r="E29" s="814">
        <f t="shared" si="2"/>
        <v>-5880.875520000016</v>
      </c>
      <c r="F29" s="816">
        <f t="shared" si="2"/>
        <v>0</v>
      </c>
      <c r="G29" s="815">
        <f t="shared" si="2"/>
        <v>-5880.875520000016</v>
      </c>
      <c r="H29" s="814">
        <f t="shared" si="2"/>
        <v>-4750.0131200000033</v>
      </c>
      <c r="I29" s="816">
        <f t="shared" si="2"/>
        <v>0</v>
      </c>
      <c r="J29" s="815">
        <f t="shared" si="2"/>
        <v>-4750.0131200000033</v>
      </c>
      <c r="K29" s="50"/>
      <c r="N29" s="1222"/>
    </row>
    <row r="30" spans="1:18" ht="14.4" thickTop="1" x14ac:dyDescent="0.25">
      <c r="A30" s="27"/>
      <c r="B30" s="55"/>
      <c r="C30" s="478"/>
      <c r="D30" s="56"/>
      <c r="E30" s="55"/>
      <c r="F30" s="478"/>
      <c r="G30" s="56"/>
      <c r="H30" s="24"/>
      <c r="I30" s="478"/>
      <c r="J30" s="56"/>
      <c r="K30" s="50"/>
      <c r="N30" s="1222"/>
    </row>
    <row r="31" spans="1:18" x14ac:dyDescent="0.25">
      <c r="A31" s="192" t="s">
        <v>437</v>
      </c>
      <c r="B31" s="90">
        <f>essincome!C101/1000*-1</f>
        <v>0</v>
      </c>
      <c r="C31" s="97">
        <f>essincome!D101/1000*-1</f>
        <v>0</v>
      </c>
      <c r="D31" s="26">
        <f>B31-C31</f>
        <v>0</v>
      </c>
      <c r="E31" s="90">
        <f>essincome!F101/1000*-1</f>
        <v>1315.7713800000001</v>
      </c>
      <c r="F31" s="97">
        <f>essincome!G101/1000*-1</f>
        <v>0</v>
      </c>
      <c r="G31" s="26">
        <f>E31-F31</f>
        <v>1315.7713800000001</v>
      </c>
      <c r="H31" s="24">
        <f>E31</f>
        <v>1315.7713800000001</v>
      </c>
      <c r="I31" s="107">
        <v>0</v>
      </c>
      <c r="J31" s="26">
        <f>H31-I31</f>
        <v>1315.7713800000001</v>
      </c>
      <c r="K31" s="50"/>
    </row>
    <row r="32" spans="1:18" x14ac:dyDescent="0.25">
      <c r="A32" s="192" t="s">
        <v>81</v>
      </c>
      <c r="B32" s="24">
        <f>essincome!C102/1000*-1</f>
        <v>-1.3588000000000002</v>
      </c>
      <c r="C32" s="107">
        <f>essincome!D102/1000*-1</f>
        <v>0</v>
      </c>
      <c r="D32" s="26">
        <f>B32-C32</f>
        <v>-1.3588000000000002</v>
      </c>
      <c r="E32" s="24">
        <f>essincome!F102/1000*-1</f>
        <v>-75.977029999999999</v>
      </c>
      <c r="F32" s="107">
        <f>essincome!G102/1000*-1</f>
        <v>0</v>
      </c>
      <c r="G32" s="26">
        <f>E32-F32</f>
        <v>-75.977029999999999</v>
      </c>
      <c r="H32" s="24">
        <f>essincome!F102/1000*-1</f>
        <v>-75.977029999999999</v>
      </c>
      <c r="I32" s="107">
        <f>essincome!I102/1000*-1</f>
        <v>0</v>
      </c>
      <c r="J32" s="26">
        <f>H32-I32</f>
        <v>-75.977029999999999</v>
      </c>
      <c r="K32" s="50"/>
    </row>
    <row r="33" spans="1:19" x14ac:dyDescent="0.25">
      <c r="A33" s="967" t="s">
        <v>438</v>
      </c>
      <c r="B33" s="90">
        <f>essincome!C40/1000-essincome!C38/1000</f>
        <v>-90.577570000000023</v>
      </c>
      <c r="C33" s="97">
        <f>essincome!D40/1000-essincome!D38/1000</f>
        <v>0</v>
      </c>
      <c r="D33" s="93">
        <f>B33-C33</f>
        <v>-90.577570000000023</v>
      </c>
      <c r="E33" s="90">
        <f>essincome!F40/1000-essincome!F38/1000</f>
        <v>-1404.85654</v>
      </c>
      <c r="F33" s="97">
        <f>essincome!G40/1000-essincome!G38/1000</f>
        <v>0</v>
      </c>
      <c r="G33" s="93">
        <f>E33-F33</f>
        <v>-1404.85654</v>
      </c>
      <c r="H33" s="24">
        <f>essincome!F40/1000-essincome!F38/1000</f>
        <v>-1404.85654</v>
      </c>
      <c r="I33" s="97">
        <f>essincome!I38/1000*-1</f>
        <v>0</v>
      </c>
      <c r="J33" s="93">
        <f>H33-I33</f>
        <v>-1404.85654</v>
      </c>
      <c r="K33" s="50"/>
    </row>
    <row r="34" spans="1:19" x14ac:dyDescent="0.25">
      <c r="A34" s="967" t="s">
        <v>465</v>
      </c>
      <c r="B34" s="167">
        <f>-essincome!C121/1000</f>
        <v>0</v>
      </c>
      <c r="C34" s="479"/>
      <c r="D34" s="93">
        <f>B34-C34</f>
        <v>0</v>
      </c>
      <c r="E34" s="197"/>
      <c r="F34" s="479"/>
      <c r="G34" s="93">
        <f>E34-F34</f>
        <v>0</v>
      </c>
      <c r="H34" s="197">
        <f>-essincome!F121/1000</f>
        <v>0</v>
      </c>
      <c r="I34" s="479"/>
      <c r="J34" s="93">
        <f>H34-I34</f>
        <v>0</v>
      </c>
      <c r="K34" s="50"/>
      <c r="L34" s="12"/>
      <c r="M34" s="12"/>
    </row>
    <row r="35" spans="1:19" ht="14.4" thickBot="1" x14ac:dyDescent="0.3">
      <c r="A35" s="191" t="s">
        <v>79</v>
      </c>
      <c r="B35" s="53">
        <f t="shared" ref="B35:J35" si="3">SUM(B29:B34)</f>
        <v>-5181.8208500000019</v>
      </c>
      <c r="C35" s="480">
        <f t="shared" si="3"/>
        <v>0</v>
      </c>
      <c r="D35" s="54">
        <f t="shared" si="3"/>
        <v>-5181.8208500000019</v>
      </c>
      <c r="E35" s="53">
        <f t="shared" si="3"/>
        <v>-6045.9377100000156</v>
      </c>
      <c r="F35" s="480">
        <f t="shared" si="3"/>
        <v>0</v>
      </c>
      <c r="G35" s="54">
        <f t="shared" si="3"/>
        <v>-6045.9377100000156</v>
      </c>
      <c r="H35" s="53">
        <f t="shared" si="3"/>
        <v>-4915.0753100000029</v>
      </c>
      <c r="I35" s="480">
        <f t="shared" si="3"/>
        <v>0</v>
      </c>
      <c r="J35" s="54">
        <f t="shared" si="3"/>
        <v>-4915.0753100000029</v>
      </c>
      <c r="K35" s="50"/>
      <c r="L35" s="12"/>
      <c r="M35" s="12"/>
    </row>
    <row r="36" spans="1:19" x14ac:dyDescent="0.25">
      <c r="B36" s="51"/>
      <c r="C36" s="51"/>
      <c r="D36" s="51"/>
      <c r="E36" s="1115"/>
      <c r="F36" s="51"/>
      <c r="G36" s="51"/>
      <c r="H36" s="51"/>
      <c r="I36" s="51"/>
      <c r="J36" s="51"/>
      <c r="L36" s="12"/>
      <c r="M36" s="12"/>
      <c r="O36" s="1032"/>
    </row>
    <row r="37" spans="1:19" x14ac:dyDescent="0.25">
      <c r="A37" s="51"/>
      <c r="B37" s="51"/>
      <c r="C37" s="51"/>
      <c r="D37" s="51"/>
      <c r="E37" s="1115"/>
      <c r="F37" s="51"/>
      <c r="G37" s="51"/>
      <c r="H37" s="51"/>
      <c r="I37" s="51"/>
      <c r="J37" s="51"/>
      <c r="L37" s="12"/>
      <c r="M37" s="12"/>
    </row>
    <row r="38" spans="1:19" x14ac:dyDescent="0.25">
      <c r="A38" s="972"/>
      <c r="B38" s="46"/>
      <c r="C38" s="46"/>
      <c r="D38" s="46"/>
      <c r="E38" s="1222"/>
      <c r="F38" s="1222"/>
      <c r="G38" s="46"/>
      <c r="H38" s="46"/>
      <c r="I38" s="46"/>
      <c r="J38" s="46"/>
      <c r="K38" s="51"/>
      <c r="L38" s="12"/>
      <c r="M38" s="12"/>
    </row>
    <row r="39" spans="1:19" ht="13.8" x14ac:dyDescent="0.3">
      <c r="A39" s="321"/>
      <c r="B39" s="1034"/>
      <c r="C39" s="1035"/>
      <c r="D39" s="1036"/>
      <c r="E39" s="1222"/>
      <c r="F39" s="1222"/>
      <c r="G39" s="1037"/>
      <c r="H39" s="1037"/>
      <c r="I39" s="1037"/>
      <c r="J39" s="753"/>
      <c r="K39" s="321"/>
      <c r="L39" s="321"/>
      <c r="M39" s="321"/>
      <c r="N39" s="505"/>
      <c r="O39" s="1038"/>
      <c r="P39" s="1038"/>
      <c r="Q39" s="1038"/>
      <c r="R39" s="1038"/>
    </row>
    <row r="40" spans="1:19" ht="13.8" x14ac:dyDescent="0.3">
      <c r="A40" s="1039"/>
      <c r="B40" s="1040"/>
      <c r="C40" s="1040"/>
      <c r="D40" s="1040"/>
      <c r="E40" s="1121"/>
      <c r="F40" s="1222"/>
      <c r="G40" s="1040"/>
      <c r="H40" s="1040"/>
      <c r="I40" s="1040"/>
      <c r="J40" s="1040"/>
      <c r="K40" s="400"/>
      <c r="L40" s="1040"/>
      <c r="M40" s="400"/>
      <c r="N40" s="505"/>
      <c r="O40" s="1038"/>
      <c r="P40" s="1038"/>
      <c r="Q40" s="1038"/>
      <c r="R40" s="1038"/>
    </row>
    <row r="41" spans="1:19" ht="13.8" x14ac:dyDescent="0.3">
      <c r="A41" s="1039"/>
      <c r="B41" s="1036"/>
      <c r="C41" s="1036"/>
      <c r="D41" s="1036"/>
      <c r="E41" s="1222"/>
      <c r="F41" s="1036"/>
      <c r="G41" s="1036"/>
      <c r="H41" s="1036"/>
      <c r="I41" s="1036"/>
      <c r="J41" s="607"/>
      <c r="K41" s="400"/>
      <c r="L41" s="1036"/>
      <c r="M41" s="400"/>
      <c r="N41" s="505"/>
      <c r="O41" s="1038"/>
      <c r="P41" s="1038"/>
      <c r="Q41" s="1038"/>
      <c r="R41" s="1038"/>
    </row>
    <row r="42" spans="1:19" ht="13.8" x14ac:dyDescent="0.3">
      <c r="A42" s="1039"/>
      <c r="B42" s="1034"/>
      <c r="C42" s="1036"/>
      <c r="D42" s="1036"/>
      <c r="E42" s="1121"/>
      <c r="F42" s="1222"/>
      <c r="G42" s="607"/>
      <c r="H42" s="1036"/>
      <c r="I42" s="1036"/>
      <c r="J42" s="607"/>
      <c r="K42" s="400"/>
      <c r="L42" s="1036"/>
      <c r="M42" s="400"/>
      <c r="N42" s="1038"/>
      <c r="O42" s="1038"/>
      <c r="P42" s="1038"/>
      <c r="Q42" s="1038"/>
      <c r="R42" s="1038"/>
    </row>
    <row r="43" spans="1:19" ht="13.8" x14ac:dyDescent="0.3">
      <c r="A43" s="1041"/>
      <c r="B43" s="1042"/>
      <c r="C43" s="1042"/>
      <c r="D43" s="779"/>
      <c r="E43" s="1122"/>
      <c r="F43" s="1044"/>
      <c r="G43" s="1043"/>
      <c r="H43" s="1043"/>
      <c r="I43" s="1044"/>
      <c r="J43" s="1045"/>
      <c r="K43" s="1046"/>
      <c r="L43" s="1044"/>
      <c r="M43" s="1047"/>
      <c r="N43" s="1048"/>
      <c r="O43" s="1048"/>
      <c r="P43" s="1049"/>
      <c r="Q43" s="1038"/>
      <c r="R43" s="1049"/>
    </row>
    <row r="44" spans="1:19" ht="13.8" x14ac:dyDescent="0.3">
      <c r="A44" s="1041"/>
      <c r="B44" s="1042"/>
      <c r="C44" s="1042"/>
      <c r="D44" s="779"/>
      <c r="E44" s="1122"/>
      <c r="F44" s="1044"/>
      <c r="G44" s="1043"/>
      <c r="H44" s="1043"/>
      <c r="I44" s="1044"/>
      <c r="J44" s="1045"/>
      <c r="K44" s="1046"/>
      <c r="L44" s="1044"/>
      <c r="M44" s="505"/>
      <c r="N44" s="1048"/>
      <c r="O44" s="1048"/>
      <c r="P44" s="1049"/>
      <c r="Q44" s="1038"/>
      <c r="R44" s="1049"/>
    </row>
    <row r="45" spans="1:19" ht="13.8" x14ac:dyDescent="0.3">
      <c r="A45" s="1041"/>
      <c r="B45" s="1042"/>
      <c r="C45" s="1042"/>
      <c r="D45" s="779"/>
      <c r="E45" s="1122"/>
      <c r="F45" s="1044"/>
      <c r="G45" s="1043"/>
      <c r="H45" s="1043"/>
      <c r="I45" s="1044"/>
      <c r="J45" s="1045"/>
      <c r="K45" s="1046"/>
      <c r="L45" s="1044"/>
      <c r="M45" s="505"/>
      <c r="N45" s="1048"/>
      <c r="O45" s="1048"/>
      <c r="P45" s="1049"/>
      <c r="Q45" s="1038"/>
      <c r="R45" s="1049"/>
      <c r="S45" s="1031"/>
    </row>
    <row r="46" spans="1:19" ht="13.8" x14ac:dyDescent="0.3">
      <c r="A46" s="1041"/>
      <c r="B46" s="1042"/>
      <c r="C46" s="1042"/>
      <c r="D46" s="779"/>
      <c r="E46" s="1122"/>
      <c r="F46" s="1044"/>
      <c r="G46" s="1043"/>
      <c r="H46" s="1043"/>
      <c r="I46" s="1044"/>
      <c r="J46" s="1045"/>
      <c r="K46" s="1046"/>
      <c r="L46" s="1044"/>
      <c r="M46" s="505"/>
      <c r="N46" s="1048"/>
      <c r="O46" s="1048"/>
      <c r="P46" s="1049"/>
      <c r="Q46" s="1038"/>
      <c r="R46" s="1038"/>
    </row>
    <row r="47" spans="1:19" ht="13.8" x14ac:dyDescent="0.3">
      <c r="A47" s="1041"/>
      <c r="B47" s="1042"/>
      <c r="C47" s="1042"/>
      <c r="D47" s="779"/>
      <c r="E47" s="1122"/>
      <c r="F47" s="1044"/>
      <c r="G47" s="1043"/>
      <c r="H47" s="1043"/>
      <c r="I47" s="1044"/>
      <c r="J47" s="1045"/>
      <c r="K47" s="1046"/>
      <c r="L47" s="1044"/>
      <c r="M47" s="505"/>
      <c r="N47" s="1048"/>
      <c r="O47" s="1048"/>
      <c r="P47" s="1049"/>
      <c r="Q47" s="1038"/>
      <c r="R47" s="1038"/>
    </row>
    <row r="48" spans="1:19" ht="13.8" x14ac:dyDescent="0.3">
      <c r="A48" s="1041"/>
      <c r="B48" s="1042"/>
      <c r="C48" s="1042"/>
      <c r="D48" s="779"/>
      <c r="E48" s="1122"/>
      <c r="F48" s="1044"/>
      <c r="G48" s="1043"/>
      <c r="H48" s="1043"/>
      <c r="I48" s="1044"/>
      <c r="J48" s="1045"/>
      <c r="K48" s="1046"/>
      <c r="L48" s="1044"/>
      <c r="M48" s="505"/>
      <c r="N48" s="1048"/>
      <c r="O48" s="1048"/>
      <c r="P48" s="1049"/>
      <c r="Q48" s="1038"/>
      <c r="R48" s="1038"/>
    </row>
    <row r="49" spans="1:18" ht="13.8" x14ac:dyDescent="0.3">
      <c r="A49" s="1041"/>
      <c r="B49" s="1042"/>
      <c r="C49" s="1042"/>
      <c r="D49" s="779"/>
      <c r="E49" s="1122"/>
      <c r="F49" s="1044"/>
      <c r="G49" s="1043"/>
      <c r="H49" s="1043"/>
      <c r="I49" s="1044"/>
      <c r="J49" s="1045"/>
      <c r="K49" s="1046"/>
      <c r="L49" s="1044"/>
      <c r="M49" s="505"/>
      <c r="N49" s="1048"/>
      <c r="O49" s="1048"/>
      <c r="P49" s="1049"/>
      <c r="Q49" s="1038"/>
      <c r="R49" s="1038"/>
    </row>
    <row r="50" spans="1:18" ht="13.8" x14ac:dyDescent="0.3">
      <c r="A50" s="1041"/>
      <c r="B50" s="1042"/>
      <c r="C50" s="1042"/>
      <c r="D50" s="779"/>
      <c r="E50" s="1122"/>
      <c r="F50" s="1044"/>
      <c r="G50" s="1043"/>
      <c r="H50" s="1043"/>
      <c r="I50" s="1044"/>
      <c r="J50" s="1045"/>
      <c r="K50" s="1046"/>
      <c r="L50" s="1044"/>
      <c r="M50" s="505"/>
      <c r="N50" s="1048"/>
      <c r="O50" s="1048"/>
      <c r="P50" s="1049"/>
      <c r="Q50" s="1038"/>
      <c r="R50" s="1038"/>
    </row>
    <row r="51" spans="1:18" ht="13.8" x14ac:dyDescent="0.3">
      <c r="A51" s="1041"/>
      <c r="B51" s="1042"/>
      <c r="C51" s="1042"/>
      <c r="D51" s="779"/>
      <c r="E51" s="1122"/>
      <c r="F51" s="1044"/>
      <c r="G51" s="1043"/>
      <c r="H51" s="1043"/>
      <c r="I51" s="1044"/>
      <c r="J51" s="1045"/>
      <c r="K51" s="1046"/>
      <c r="L51" s="1044"/>
      <c r="M51" s="505"/>
      <c r="N51" s="1048"/>
      <c r="O51" s="1048"/>
      <c r="P51" s="1049"/>
      <c r="Q51" s="1038"/>
      <c r="R51" s="1038"/>
    </row>
    <row r="52" spans="1:18" ht="13.8" x14ac:dyDescent="0.3">
      <c r="A52" s="1041"/>
      <c r="B52" s="1042"/>
      <c r="C52" s="1042"/>
      <c r="D52" s="779"/>
      <c r="E52" s="1122"/>
      <c r="F52" s="1044"/>
      <c r="G52" s="1043"/>
      <c r="H52" s="1043"/>
      <c r="I52" s="1044"/>
      <c r="J52" s="1045"/>
      <c r="K52" s="1046"/>
      <c r="L52" s="1044"/>
      <c r="M52" s="505"/>
      <c r="N52" s="1048"/>
      <c r="O52" s="1048"/>
      <c r="P52" s="1049"/>
      <c r="Q52" s="1038"/>
      <c r="R52" s="1038"/>
    </row>
    <row r="53" spans="1:18" ht="13.8" x14ac:dyDescent="0.3">
      <c r="A53" s="1041"/>
      <c r="B53" s="1042"/>
      <c r="C53" s="1042"/>
      <c r="D53" s="779"/>
      <c r="E53" s="1122"/>
      <c r="F53" s="1044"/>
      <c r="G53" s="1043"/>
      <c r="H53" s="1043"/>
      <c r="I53" s="1044"/>
      <c r="J53" s="1045"/>
      <c r="K53" s="1046"/>
      <c r="L53" s="1044"/>
      <c r="M53" s="505"/>
      <c r="N53" s="1048"/>
      <c r="O53" s="1048"/>
      <c r="P53" s="1049"/>
      <c r="Q53" s="1038"/>
      <c r="R53" s="1038"/>
    </row>
    <row r="54" spans="1:18" ht="13.8" x14ac:dyDescent="0.3">
      <c r="A54" s="1041"/>
      <c r="B54" s="1042"/>
      <c r="C54" s="1042"/>
      <c r="D54" s="779"/>
      <c r="E54" s="1122"/>
      <c r="F54" s="1044"/>
      <c r="G54" s="1043"/>
      <c r="H54" s="1043"/>
      <c r="I54" s="1044"/>
      <c r="J54" s="1045"/>
      <c r="K54" s="1046"/>
      <c r="L54" s="1044"/>
      <c r="M54" s="505"/>
      <c r="N54" s="1048"/>
      <c r="O54" s="1048"/>
      <c r="P54" s="1049"/>
      <c r="Q54" s="1038"/>
      <c r="R54" s="1038"/>
    </row>
    <row r="55" spans="1:18" ht="13.8" x14ac:dyDescent="0.3">
      <c r="A55" s="1041"/>
      <c r="B55" s="1042"/>
      <c r="C55" s="1042"/>
      <c r="D55" s="779"/>
      <c r="E55" s="1122"/>
      <c r="F55" s="1044"/>
      <c r="G55" s="1043"/>
      <c r="H55" s="1043"/>
      <c r="I55" s="1044"/>
      <c r="J55" s="1045"/>
      <c r="K55" s="1046"/>
      <c r="L55" s="1044"/>
      <c r="M55" s="505"/>
      <c r="N55" s="1048"/>
      <c r="O55" s="1048"/>
      <c r="P55" s="1049"/>
      <c r="Q55" s="1038"/>
      <c r="R55" s="1038"/>
    </row>
    <row r="56" spans="1:18" ht="13.8" x14ac:dyDescent="0.3">
      <c r="A56" s="1041"/>
      <c r="B56" s="1042"/>
      <c r="C56" s="1042"/>
      <c r="D56" s="779"/>
      <c r="E56" s="1122"/>
      <c r="F56" s="1044"/>
      <c r="G56" s="1043"/>
      <c r="H56" s="1043"/>
      <c r="I56" s="1044"/>
      <c r="J56" s="1045"/>
      <c r="K56" s="1046"/>
      <c r="L56" s="1044"/>
      <c r="M56" s="505"/>
      <c r="N56" s="1048"/>
      <c r="O56" s="1048"/>
      <c r="P56" s="1049"/>
      <c r="Q56" s="1038"/>
      <c r="R56" s="1038"/>
    </row>
    <row r="57" spans="1:18" x14ac:dyDescent="0.25">
      <c r="A57" s="1038"/>
      <c r="B57" s="1050"/>
      <c r="C57" s="1051"/>
      <c r="D57" s="1050"/>
      <c r="E57" s="1123"/>
      <c r="F57" s="1050"/>
      <c r="G57" s="1050"/>
      <c r="H57" s="1050"/>
      <c r="I57" s="1050"/>
      <c r="J57" s="1050"/>
      <c r="K57" s="1038"/>
      <c r="L57" s="1052"/>
      <c r="M57" s="1052"/>
      <c r="N57" s="1038"/>
      <c r="O57" s="1038"/>
      <c r="P57" s="1038"/>
      <c r="Q57" s="1038"/>
      <c r="R57" s="1038"/>
    </row>
    <row r="58" spans="1:18" x14ac:dyDescent="0.25">
      <c r="A58" s="1038"/>
      <c r="B58" s="1050"/>
      <c r="C58" s="1051"/>
      <c r="D58" s="1050"/>
      <c r="E58" s="1123"/>
      <c r="F58" s="1050"/>
      <c r="G58" s="1050"/>
      <c r="H58" s="1050"/>
      <c r="I58" s="1050"/>
      <c r="J58" s="1050"/>
      <c r="K58" s="1038"/>
      <c r="L58" s="1052"/>
      <c r="M58" s="1052"/>
      <c r="N58" s="1038"/>
      <c r="O58" s="1038"/>
      <c r="P58" s="1038"/>
      <c r="Q58" s="1038"/>
      <c r="R58" s="1038"/>
    </row>
    <row r="59" spans="1:18" x14ac:dyDescent="0.25">
      <c r="A59" s="1038"/>
      <c r="B59" s="1050"/>
      <c r="C59" s="1051"/>
      <c r="D59" s="1050"/>
      <c r="E59" s="1123"/>
      <c r="F59" s="1050"/>
      <c r="G59" s="1050"/>
      <c r="H59" s="1050"/>
      <c r="I59" s="1050"/>
      <c r="J59" s="1050"/>
      <c r="K59" s="1038"/>
      <c r="L59" s="1052"/>
      <c r="M59" s="1052"/>
      <c r="N59" s="1038"/>
      <c r="O59" s="1038"/>
      <c r="P59" s="1038"/>
      <c r="Q59" s="1038"/>
      <c r="R59" s="1038"/>
    </row>
    <row r="60" spans="1:18" ht="13.8" x14ac:dyDescent="0.3">
      <c r="A60" s="1053"/>
      <c r="B60" s="1041"/>
      <c r="C60" s="1051"/>
      <c r="D60" s="1050"/>
      <c r="E60" s="1123"/>
      <c r="F60" s="1050"/>
      <c r="G60" s="1050"/>
      <c r="H60" s="1050"/>
      <c r="I60" s="1050"/>
      <c r="J60" s="1050"/>
      <c r="K60" s="1038"/>
      <c r="L60" s="1052"/>
      <c r="M60" s="1052"/>
      <c r="N60" s="1038"/>
      <c r="O60" s="1038"/>
      <c r="P60" s="1038"/>
      <c r="Q60" s="1038"/>
      <c r="R60" s="1038"/>
    </row>
    <row r="61" spans="1:18" x14ac:dyDescent="0.25">
      <c r="A61" s="984"/>
      <c r="B61" s="984"/>
      <c r="C61" s="1051"/>
      <c r="D61" s="1050"/>
      <c r="E61" s="1123"/>
      <c r="F61" s="1050"/>
      <c r="G61" s="1050"/>
      <c r="H61" s="1050"/>
      <c r="I61" s="1050"/>
      <c r="J61" s="1050"/>
      <c r="K61" s="1038"/>
      <c r="L61" s="1052"/>
      <c r="M61" s="1052"/>
      <c r="N61" s="1038"/>
      <c r="O61" s="1038"/>
      <c r="P61" s="1038"/>
      <c r="Q61" s="1038"/>
      <c r="R61" s="1038"/>
    </row>
    <row r="62" spans="1:18" x14ac:dyDescent="0.25">
      <c r="A62" s="984"/>
      <c r="B62" s="984"/>
      <c r="C62" s="1051"/>
      <c r="D62" s="1050"/>
      <c r="E62" s="1123"/>
      <c r="F62" s="1050"/>
      <c r="G62" s="1050"/>
      <c r="H62" s="1050"/>
      <c r="I62" s="1050"/>
      <c r="J62" s="1050"/>
      <c r="K62" s="1038"/>
      <c r="L62" s="1052"/>
      <c r="M62" s="1052"/>
      <c r="N62" s="1038"/>
      <c r="O62" s="1038"/>
      <c r="P62" s="1038"/>
      <c r="Q62" s="1038"/>
      <c r="R62" s="1038"/>
    </row>
    <row r="63" spans="1:18" x14ac:dyDescent="0.25">
      <c r="A63" s="984"/>
      <c r="B63" s="984"/>
      <c r="C63" s="1051"/>
      <c r="D63" s="1050"/>
      <c r="E63" s="1123"/>
      <c r="F63" s="1050"/>
      <c r="G63" s="1050"/>
      <c r="H63" s="1050"/>
      <c r="I63" s="1050"/>
      <c r="J63" s="1050"/>
      <c r="K63" s="1038"/>
      <c r="L63" s="1052"/>
      <c r="M63" s="1052"/>
      <c r="N63" s="1038"/>
      <c r="O63" s="1038"/>
      <c r="P63" s="1038"/>
      <c r="Q63" s="1038"/>
      <c r="R63" s="1038"/>
    </row>
    <row r="64" spans="1:18" x14ac:dyDescent="0.25">
      <c r="A64" s="984"/>
      <c r="B64" s="984"/>
      <c r="C64" s="1051"/>
      <c r="D64" s="1050"/>
      <c r="E64" s="1123"/>
      <c r="F64" s="1050"/>
      <c r="G64" s="1050"/>
      <c r="H64" s="1050"/>
      <c r="I64" s="1050"/>
      <c r="J64" s="1050"/>
      <c r="K64" s="1038"/>
      <c r="L64" s="1052"/>
      <c r="M64" s="1052"/>
      <c r="N64" s="1038"/>
      <c r="O64" s="1038"/>
      <c r="P64" s="1038"/>
      <c r="Q64" s="1038"/>
      <c r="R64" s="1038"/>
    </row>
    <row r="65" spans="1:18" x14ac:dyDescent="0.25">
      <c r="A65" s="984"/>
      <c r="B65" s="984"/>
      <c r="C65" s="1051"/>
      <c r="D65" s="1050"/>
      <c r="E65" s="1123"/>
      <c r="F65" s="1050"/>
      <c r="G65" s="1050"/>
      <c r="H65" s="1050"/>
      <c r="I65" s="1050"/>
      <c r="J65" s="1050"/>
      <c r="K65" s="1038"/>
      <c r="L65" s="1052"/>
      <c r="M65" s="1052"/>
      <c r="N65" s="1038"/>
      <c r="O65" s="1038"/>
      <c r="P65" s="1038"/>
      <c r="Q65" s="1038"/>
      <c r="R65" s="1038"/>
    </row>
    <row r="66" spans="1:18" x14ac:dyDescent="0.25">
      <c r="A66" s="984"/>
      <c r="B66" s="984"/>
      <c r="C66" s="1051"/>
      <c r="D66" s="1050"/>
      <c r="E66" s="1123"/>
      <c r="F66" s="1050"/>
      <c r="G66" s="1050"/>
      <c r="H66" s="1050"/>
      <c r="I66" s="1050"/>
      <c r="J66" s="1050"/>
      <c r="K66" s="1038"/>
      <c r="L66" s="1052"/>
      <c r="M66" s="1052"/>
      <c r="N66" s="1038"/>
      <c r="O66" s="1038"/>
      <c r="P66" s="1038"/>
      <c r="Q66" s="1038"/>
      <c r="R66" s="1038"/>
    </row>
    <row r="67" spans="1:18" x14ac:dyDescent="0.25">
      <c r="A67" s="984"/>
      <c r="B67" s="984"/>
      <c r="C67" s="1051"/>
      <c r="D67" s="1050"/>
      <c r="E67" s="1123"/>
      <c r="F67" s="1050"/>
      <c r="G67" s="1050"/>
      <c r="H67" s="1050"/>
      <c r="I67" s="1050"/>
      <c r="J67" s="1050"/>
      <c r="K67" s="1038"/>
      <c r="L67" s="1052"/>
      <c r="M67" s="1052"/>
      <c r="N67" s="1038"/>
      <c r="O67" s="1038"/>
      <c r="P67" s="1038"/>
      <c r="Q67" s="1038"/>
      <c r="R67" s="1038"/>
    </row>
    <row r="68" spans="1:18" x14ac:dyDescent="0.25">
      <c r="A68" s="984"/>
      <c r="B68" s="984"/>
      <c r="C68" s="1051"/>
      <c r="D68" s="1050"/>
      <c r="E68" s="1123"/>
      <c r="F68" s="1050"/>
      <c r="G68" s="1050"/>
      <c r="H68" s="1050"/>
      <c r="I68" s="1050"/>
      <c r="J68" s="1050"/>
      <c r="K68" s="1038"/>
      <c r="L68" s="1052"/>
      <c r="M68" s="1052"/>
      <c r="N68" s="1038"/>
      <c r="O68" s="1038"/>
      <c r="P68" s="1038"/>
      <c r="Q68" s="1038"/>
      <c r="R68" s="1038"/>
    </row>
    <row r="69" spans="1:18" x14ac:dyDescent="0.25">
      <c r="A69" s="984"/>
      <c r="B69" s="984"/>
      <c r="C69" s="1051"/>
      <c r="D69" s="1050"/>
      <c r="E69" s="1123"/>
      <c r="F69" s="1050"/>
      <c r="G69" s="1050"/>
      <c r="H69" s="1050"/>
      <c r="I69" s="1050"/>
      <c r="J69" s="1050"/>
      <c r="K69" s="1038"/>
      <c r="L69" s="1052"/>
      <c r="M69" s="1052"/>
      <c r="N69" s="1038"/>
      <c r="O69" s="1038"/>
      <c r="P69" s="1038"/>
      <c r="Q69" s="1038"/>
      <c r="R69" s="1038"/>
    </row>
    <row r="70" spans="1:18" x14ac:dyDescent="0.25">
      <c r="A70" s="1038"/>
      <c r="B70" s="1050"/>
      <c r="C70" s="1051"/>
      <c r="D70" s="1050"/>
      <c r="E70" s="1123"/>
      <c r="F70" s="1050"/>
      <c r="G70" s="1050"/>
      <c r="H70" s="1050"/>
      <c r="I70" s="1050"/>
      <c r="J70" s="1050"/>
      <c r="K70" s="1038"/>
      <c r="L70" s="1052"/>
      <c r="M70" s="1052"/>
      <c r="N70" s="1038"/>
      <c r="O70" s="1038"/>
      <c r="P70" s="1038"/>
      <c r="Q70" s="1038"/>
      <c r="R70" s="1038"/>
    </row>
    <row r="71" spans="1:18" x14ac:dyDescent="0.25">
      <c r="A71" s="1038"/>
      <c r="B71" s="1050"/>
      <c r="C71" s="1051"/>
      <c r="D71" s="1050"/>
      <c r="E71" s="1123"/>
      <c r="F71" s="1050"/>
      <c r="G71" s="1050"/>
      <c r="H71" s="1050"/>
      <c r="I71" s="1050"/>
      <c r="J71" s="1050"/>
      <c r="K71" s="1038"/>
      <c r="L71" s="1052"/>
      <c r="M71" s="1052"/>
      <c r="N71" s="1038"/>
      <c r="O71" s="1038"/>
      <c r="P71" s="1038"/>
      <c r="Q71" s="1038"/>
      <c r="R71" s="1038"/>
    </row>
    <row r="72" spans="1:18" x14ac:dyDescent="0.25">
      <c r="A72" s="1038"/>
      <c r="B72" s="1050"/>
      <c r="C72" s="1051"/>
      <c r="D72" s="1050"/>
      <c r="E72" s="1123"/>
      <c r="F72" s="1050"/>
      <c r="G72" s="1050"/>
      <c r="H72" s="1050"/>
      <c r="I72" s="1050"/>
      <c r="J72" s="1050"/>
      <c r="K72" s="1038"/>
      <c r="L72" s="1052"/>
      <c r="M72" s="1052"/>
      <c r="N72" s="1038"/>
      <c r="O72" s="1038"/>
      <c r="P72" s="1038"/>
      <c r="Q72" s="1038"/>
      <c r="R72" s="1038"/>
    </row>
    <row r="73" spans="1:18" x14ac:dyDescent="0.25">
      <c r="A73" s="1038"/>
      <c r="B73" s="1050"/>
      <c r="C73" s="1051"/>
      <c r="D73" s="1050"/>
      <c r="E73" s="1123"/>
      <c r="F73" s="1050"/>
      <c r="G73" s="1050"/>
      <c r="H73" s="1050"/>
      <c r="I73" s="1050"/>
      <c r="J73" s="1050"/>
      <c r="K73" s="1038"/>
      <c r="L73" s="1052"/>
      <c r="M73" s="1052"/>
      <c r="N73" s="1038"/>
      <c r="O73" s="1038"/>
      <c r="P73" s="1038"/>
      <c r="Q73" s="1038"/>
      <c r="R73" s="1038"/>
    </row>
    <row r="74" spans="1:18" x14ac:dyDescent="0.25">
      <c r="A74" s="1038"/>
      <c r="B74" s="1050"/>
      <c r="C74" s="1051"/>
      <c r="D74" s="1050"/>
      <c r="E74" s="1123"/>
      <c r="F74" s="1050"/>
      <c r="G74" s="1050"/>
      <c r="H74" s="1050"/>
      <c r="I74" s="1050"/>
      <c r="J74" s="1050"/>
      <c r="K74" s="1038"/>
      <c r="L74" s="1052"/>
      <c r="M74" s="1052"/>
      <c r="N74" s="1038"/>
      <c r="O74" s="1038"/>
      <c r="P74" s="1038"/>
      <c r="Q74" s="1038"/>
      <c r="R74" s="1038"/>
    </row>
    <row r="75" spans="1:18" x14ac:dyDescent="0.25">
      <c r="A75" s="1038"/>
      <c r="B75" s="1050"/>
      <c r="C75" s="1051"/>
      <c r="D75" s="1050"/>
      <c r="E75" s="1123"/>
      <c r="F75" s="1050"/>
      <c r="G75" s="1050"/>
      <c r="H75" s="1050"/>
      <c r="I75" s="1050"/>
      <c r="J75" s="1050"/>
      <c r="K75" s="1038"/>
      <c r="L75" s="1052"/>
      <c r="M75" s="1052"/>
      <c r="N75" s="1038"/>
      <c r="O75" s="1038"/>
      <c r="P75" s="1038"/>
      <c r="Q75" s="1038"/>
      <c r="R75" s="1038"/>
    </row>
    <row r="76" spans="1:18" x14ac:dyDescent="0.25">
      <c r="A76" s="1038"/>
      <c r="B76" s="1050"/>
      <c r="C76" s="1051"/>
      <c r="D76" s="1050"/>
      <c r="E76" s="1123"/>
      <c r="F76" s="1050"/>
      <c r="G76" s="1050"/>
      <c r="H76" s="1050"/>
      <c r="I76" s="1050"/>
      <c r="J76" s="1050"/>
      <c r="K76" s="1038"/>
      <c r="L76" s="1052"/>
      <c r="M76" s="1052"/>
      <c r="N76" s="1038"/>
      <c r="O76" s="1038"/>
      <c r="P76" s="1038"/>
      <c r="Q76" s="1038"/>
      <c r="R76" s="1038"/>
    </row>
    <row r="77" spans="1:18" x14ac:dyDescent="0.25">
      <c r="A77" s="1038"/>
      <c r="B77" s="1050"/>
      <c r="C77" s="1051"/>
      <c r="D77" s="1050"/>
      <c r="E77" s="1123"/>
      <c r="F77" s="1050"/>
      <c r="G77" s="1050"/>
      <c r="H77" s="1050"/>
      <c r="I77" s="1050"/>
      <c r="J77" s="1050"/>
      <c r="K77" s="1038"/>
      <c r="L77" s="1052"/>
      <c r="M77" s="1052"/>
      <c r="N77" s="1038"/>
      <c r="O77" s="1038"/>
      <c r="P77" s="1038"/>
      <c r="Q77" s="1038"/>
      <c r="R77" s="1038"/>
    </row>
    <row r="78" spans="1:18" x14ac:dyDescent="0.25">
      <c r="A78" s="1038"/>
      <c r="B78" s="1050"/>
      <c r="C78" s="1051"/>
      <c r="D78" s="1050"/>
      <c r="E78" s="1123"/>
      <c r="F78" s="1050"/>
      <c r="G78" s="1050"/>
      <c r="H78" s="1050"/>
      <c r="I78" s="1050"/>
      <c r="J78" s="1050"/>
      <c r="K78" s="1038"/>
      <c r="L78" s="1052"/>
      <c r="M78" s="1052"/>
      <c r="N78" s="1038"/>
      <c r="O78" s="1038"/>
      <c r="P78" s="1038"/>
      <c r="Q78" s="1038"/>
      <c r="R78" s="1038"/>
    </row>
    <row r="79" spans="1:18" x14ac:dyDescent="0.25">
      <c r="A79" s="1038"/>
      <c r="B79" s="1050"/>
      <c r="C79" s="1051"/>
      <c r="D79" s="1050"/>
      <c r="E79" s="1123"/>
      <c r="F79" s="1050"/>
      <c r="G79" s="1050"/>
      <c r="H79" s="1050"/>
      <c r="I79" s="1050"/>
      <c r="J79" s="1050"/>
      <c r="K79" s="1038"/>
      <c r="L79" s="1052"/>
      <c r="M79" s="1052"/>
      <c r="N79" s="1038"/>
      <c r="O79" s="1038"/>
      <c r="P79" s="1038"/>
      <c r="Q79" s="1038"/>
      <c r="R79" s="1038"/>
    </row>
    <row r="80" spans="1:18" x14ac:dyDescent="0.25">
      <c r="A80" s="1038"/>
      <c r="B80" s="1050"/>
      <c r="C80" s="1051"/>
      <c r="D80" s="1050"/>
      <c r="E80" s="1123"/>
      <c r="F80" s="1050"/>
      <c r="G80" s="1050"/>
      <c r="H80" s="1050"/>
      <c r="I80" s="1050"/>
      <c r="J80" s="1050"/>
      <c r="K80" s="1038"/>
      <c r="L80" s="1052"/>
      <c r="M80" s="1052"/>
      <c r="N80" s="1038"/>
      <c r="O80" s="1038"/>
      <c r="P80" s="1038"/>
      <c r="Q80" s="1038"/>
      <c r="R80" s="1038"/>
    </row>
    <row r="81" spans="1:18" x14ac:dyDescent="0.25">
      <c r="A81" s="1038"/>
      <c r="B81" s="1050"/>
      <c r="C81" s="1051"/>
      <c r="D81" s="1050"/>
      <c r="E81" s="1123"/>
      <c r="F81" s="1050"/>
      <c r="G81" s="1050"/>
      <c r="H81" s="1050"/>
      <c r="I81" s="1050"/>
      <c r="J81" s="1050"/>
      <c r="K81" s="1038"/>
      <c r="L81" s="1052"/>
      <c r="M81" s="1052"/>
      <c r="N81" s="1038"/>
      <c r="O81" s="1038"/>
      <c r="P81" s="1038"/>
      <c r="Q81" s="1038"/>
      <c r="R81" s="1038"/>
    </row>
    <row r="82" spans="1:18" x14ac:dyDescent="0.25">
      <c r="A82" s="1038"/>
      <c r="B82" s="1050"/>
      <c r="C82" s="1051"/>
      <c r="D82" s="1050"/>
      <c r="E82" s="1123"/>
      <c r="F82" s="1050"/>
      <c r="G82" s="1050"/>
      <c r="H82" s="1050"/>
      <c r="I82" s="1050"/>
      <c r="J82" s="1050"/>
      <c r="K82" s="1038"/>
      <c r="L82" s="1052"/>
      <c r="M82" s="1052"/>
      <c r="N82" s="1038"/>
      <c r="O82" s="1038"/>
      <c r="P82" s="1038"/>
      <c r="Q82" s="1038"/>
      <c r="R82" s="1038"/>
    </row>
    <row r="83" spans="1:18" x14ac:dyDescent="0.25">
      <c r="A83" s="1038"/>
      <c r="B83" s="1050"/>
      <c r="C83" s="1051"/>
      <c r="D83" s="1050"/>
      <c r="E83" s="1123"/>
      <c r="F83" s="1050"/>
      <c r="G83" s="1050"/>
      <c r="H83" s="1050"/>
      <c r="I83" s="1050"/>
      <c r="J83" s="1050"/>
      <c r="K83" s="1038"/>
      <c r="L83" s="1052"/>
      <c r="M83" s="1052"/>
      <c r="N83" s="1038"/>
      <c r="O83" s="1038"/>
      <c r="P83" s="1038"/>
      <c r="Q83" s="1038"/>
      <c r="R83" s="1038"/>
    </row>
    <row r="84" spans="1:18" x14ac:dyDescent="0.25">
      <c r="A84" s="1038"/>
      <c r="B84" s="1050"/>
      <c r="C84" s="1051"/>
      <c r="D84" s="1050"/>
      <c r="E84" s="1123"/>
      <c r="F84" s="1050"/>
      <c r="G84" s="1050"/>
      <c r="H84" s="1050"/>
      <c r="I84" s="1050"/>
      <c r="J84" s="1050"/>
      <c r="K84" s="1038"/>
      <c r="L84" s="1052"/>
      <c r="M84" s="1052"/>
      <c r="N84" s="1038"/>
      <c r="O84" s="1038"/>
      <c r="P84" s="1038"/>
      <c r="Q84" s="1038"/>
      <c r="R84" s="1038"/>
    </row>
  </sheetData>
  <mergeCells count="6">
    <mergeCell ref="B7:D7"/>
    <mergeCell ref="E7:G7"/>
    <mergeCell ref="H7:J7"/>
    <mergeCell ref="A1:G1"/>
    <mergeCell ref="A2:G2"/>
    <mergeCell ref="A3:G3"/>
  </mergeCells>
  <phoneticPr fontId="31" type="noConversion"/>
  <printOptions horizontalCentered="1"/>
  <pageMargins left="0.75" right="0.75" top="1" bottom="1" header="0.5" footer="0.5"/>
  <pageSetup scale="80" orientation="landscape" r:id="rId1"/>
  <headerFooter alignWithMargins="0">
    <oddFooter>&amp;L&amp;Z&amp;F&amp;RCONFIDENTIAL</oddFooter>
  </headerFooter>
  <ignoredErrors>
    <ignoredError sqref="D36:I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OPEB_Pension</vt:lpstr>
      <vt:lpstr>cap pension</vt:lpstr>
      <vt:lpstr>essincome (2)</vt:lpstr>
      <vt:lpstr>Cost recovery revenue</vt:lpstr>
      <vt:lpstr>Pension Notes</vt:lpstr>
      <vt:lpstr>esscusted</vt:lpstr>
      <vt:lpstr>pension</vt:lpstr>
      <vt:lpstr>essincome</vt:lpstr>
      <vt:lpstr>income</vt:lpstr>
      <vt:lpstr>essincome-SME</vt:lpstr>
      <vt:lpstr>income-SME</vt:lpstr>
      <vt:lpstr>essbal</vt:lpstr>
      <vt:lpstr>balance sheet</vt:lpstr>
      <vt:lpstr>Cashflow adj</vt:lpstr>
      <vt:lpstr>esscashflow</vt:lpstr>
      <vt:lpstr>cashflowGL</vt:lpstr>
      <vt:lpstr>cashflow</vt:lpstr>
      <vt:lpstr>FX calc</vt:lpstr>
      <vt:lpstr>Corp Adjustments</vt:lpstr>
      <vt:lpstr>Sheet1</vt:lpstr>
      <vt:lpstr>cashflowGL!Print_Area</vt:lpstr>
      <vt:lpstr>essbal!Print_Area</vt:lpstr>
      <vt:lpstr>essincome!Print_Area</vt:lpstr>
      <vt:lpstr>income!Print_Area</vt:lpstr>
      <vt:lpstr>'income-SME'!Print_Area</vt:lpstr>
      <vt:lpstr>pension!Print_Area</vt:lpstr>
    </vt:vector>
  </TitlesOfParts>
  <Company>IMO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briggsj</dc:creator>
  <cp:lastModifiedBy>Nicholson, Susan</cp:lastModifiedBy>
  <cp:lastPrinted>2017-02-07T19:41:46Z</cp:lastPrinted>
  <dcterms:created xsi:type="dcterms:W3CDTF">2000-06-28T17:25:33Z</dcterms:created>
  <dcterms:modified xsi:type="dcterms:W3CDTF">2017-06-15T19:53:34Z</dcterms:modified>
</cp:coreProperties>
</file>